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defaultThemeVersion="124226"/>
  <mc:AlternateContent xmlns:mc="http://schemas.openxmlformats.org/markup-compatibility/2006">
    <mc:Choice Requires="x15">
      <x15ac:absPath xmlns:x15ac="http://schemas.microsoft.com/office/spreadsheetml/2010/11/ac" url="/Users/firuze/Desktop/CV 2023/Thesis/"/>
    </mc:Choice>
  </mc:AlternateContent>
  <xr:revisionPtr revIDLastSave="0" documentId="8_{A2E0E4F2-6D7B-BA43-8D04-8230D13B800D}" xr6:coauthVersionLast="47" xr6:coauthVersionMax="47" xr10:uidLastSave="{00000000-0000-0000-0000-000000000000}"/>
  <bookViews>
    <workbookView xWindow="0" yWindow="0" windowWidth="28800" windowHeight="18000" activeTab="3" xr2:uid="{00000000-000D-0000-FFFF-FFFF00000000}"/>
  </bookViews>
  <sheets>
    <sheet name="Labelled data" sheetId="1" r:id="rId1"/>
    <sheet name="Money investment" sheetId="3" r:id="rId2"/>
    <sheet name="Energy investment" sheetId="2" r:id="rId3"/>
    <sheet name="Carbon inventory" sheetId="4" r:id="rId4"/>
    <sheet name="Sheet1" sheetId="5" r:id="rId5"/>
  </sheets>
  <definedNames>
    <definedName name="solver_adj" localSheetId="1" hidden="1">'Money investment'!$R$3:$R$6</definedName>
    <definedName name="solver_cvg" localSheetId="1" hidden="1">0.0001</definedName>
    <definedName name="solver_drv" localSheetId="1" hidden="1">1</definedName>
    <definedName name="solver_eng" localSheetId="1" hidden="1">1</definedName>
    <definedName name="solver_itr" localSheetId="1" hidden="1">2147483647</definedName>
    <definedName name="solver_lin" localSheetId="1" hidden="1">2</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opt" localSheetId="1" hidden="1">'Money investment'!$N$3</definedName>
    <definedName name="solver_pre" localSheetId="1" hidden="1">0.000001</definedName>
    <definedName name="solver_rbv" localSheetId="1" hidden="1">1</definedName>
    <definedName name="solver_rlx" localSheetId="1" hidden="1">1</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2</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0" i="4" l="1"/>
  <c r="J340" i="1"/>
  <c r="J313" i="4"/>
  <c r="J312" i="4"/>
  <c r="J311" i="4"/>
  <c r="J310" i="4"/>
  <c r="J308" i="4"/>
  <c r="J307" i="4"/>
  <c r="J306" i="4"/>
  <c r="J305" i="4"/>
  <c r="J304" i="4"/>
  <c r="J303" i="4"/>
  <c r="J302" i="4"/>
  <c r="J301" i="4"/>
  <c r="J300" i="4"/>
  <c r="J299" i="4"/>
  <c r="J298" i="4"/>
  <c r="J297" i="4"/>
  <c r="J296" i="4"/>
  <c r="J295" i="4"/>
  <c r="J294" i="4"/>
  <c r="J293" i="4"/>
  <c r="J292" i="4"/>
  <c r="J291" i="4"/>
  <c r="J290" i="4"/>
  <c r="J289" i="4"/>
  <c r="J288" i="4"/>
  <c r="J287" i="4"/>
  <c r="J286" i="4"/>
  <c r="J285" i="4"/>
  <c r="J284" i="4"/>
  <c r="J283" i="4"/>
  <c r="J282" i="4"/>
  <c r="J281" i="4"/>
  <c r="J281" i="1"/>
  <c r="J210" i="4"/>
  <c r="J210" i="1"/>
  <c r="J120" i="4"/>
  <c r="J121" i="4"/>
  <c r="Q456" i="1" l="1"/>
  <c r="Q459" i="1"/>
  <c r="J314" i="1"/>
  <c r="J313" i="1"/>
  <c r="J312" i="1"/>
  <c r="J311" i="1"/>
  <c r="J310"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P281" i="1"/>
  <c r="J120" i="1" l="1"/>
  <c r="S13" i="4" l="1"/>
  <c r="R684" i="4" l="1"/>
  <c r="S684" i="4"/>
  <c r="T684" i="4"/>
  <c r="R685" i="4"/>
  <c r="S685" i="4"/>
  <c r="T685" i="4"/>
  <c r="R686" i="4"/>
  <c r="S686" i="4"/>
  <c r="T686" i="4"/>
  <c r="R615" i="4"/>
  <c r="S615" i="4"/>
  <c r="T615" i="4"/>
  <c r="R616" i="4"/>
  <c r="S616" i="4"/>
  <c r="T616" i="4"/>
  <c r="R612" i="4"/>
  <c r="S612" i="4"/>
  <c r="T612" i="4"/>
  <c r="R613" i="4"/>
  <c r="S613" i="4"/>
  <c r="T613" i="4"/>
  <c r="T611" i="4"/>
  <c r="S611" i="4"/>
  <c r="R611" i="4"/>
  <c r="P597" i="4"/>
  <c r="N597" i="4"/>
  <c r="T596" i="4"/>
  <c r="S596" i="4"/>
  <c r="R596" i="4"/>
  <c r="R595" i="4"/>
  <c r="S595" i="4"/>
  <c r="T595" i="4"/>
  <c r="J595" i="4"/>
  <c r="J594" i="4"/>
  <c r="T594" i="4"/>
  <c r="S594" i="4"/>
  <c r="R594" i="4"/>
  <c r="S593" i="4"/>
  <c r="P593" i="4"/>
  <c r="T593" i="4" s="1"/>
  <c r="N593" i="4"/>
  <c r="R593" i="4" s="1"/>
  <c r="T592" i="4"/>
  <c r="S592" i="4"/>
  <c r="R592" i="4"/>
  <c r="R582" i="4"/>
  <c r="S582" i="4"/>
  <c r="T582" i="4"/>
  <c r="R583" i="4"/>
  <c r="S583" i="4"/>
  <c r="T583" i="4"/>
  <c r="R584" i="4"/>
  <c r="S584" i="4"/>
  <c r="T584" i="4"/>
  <c r="R585" i="4"/>
  <c r="S585" i="4"/>
  <c r="T585" i="4"/>
  <c r="R586" i="4"/>
  <c r="S586" i="4"/>
  <c r="T586" i="4"/>
  <c r="R587" i="4"/>
  <c r="S587" i="4"/>
  <c r="T587" i="4"/>
  <c r="R588" i="4"/>
  <c r="S588" i="4"/>
  <c r="T588" i="4"/>
  <c r="R589" i="4"/>
  <c r="S589" i="4"/>
  <c r="T589" i="4"/>
  <c r="T581" i="4"/>
  <c r="S581" i="4"/>
  <c r="R581" i="4"/>
  <c r="J559" i="4"/>
  <c r="T559" i="4" s="1"/>
  <c r="J518" i="4"/>
  <c r="S518" i="4" s="1"/>
  <c r="R509" i="4"/>
  <c r="S509" i="4"/>
  <c r="T509" i="4"/>
  <c r="T507" i="4"/>
  <c r="S507" i="4"/>
  <c r="R507" i="4"/>
  <c r="R474" i="4"/>
  <c r="S474" i="4"/>
  <c r="T474" i="4"/>
  <c r="T473" i="4"/>
  <c r="S473" i="4"/>
  <c r="R473" i="4"/>
  <c r="X468" i="4"/>
  <c r="V468" i="4"/>
  <c r="J457" i="4"/>
  <c r="S457" i="4" s="1"/>
  <c r="R459" i="4"/>
  <c r="S459" i="4"/>
  <c r="T459" i="4"/>
  <c r="J457" i="1"/>
  <c r="Q457" i="1" s="1"/>
  <c r="T456" i="4"/>
  <c r="S456" i="4"/>
  <c r="R456" i="4"/>
  <c r="R438" i="4"/>
  <c r="S438" i="4"/>
  <c r="T438" i="4"/>
  <c r="T437" i="4"/>
  <c r="S437" i="4"/>
  <c r="R437" i="4"/>
  <c r="P438" i="1"/>
  <c r="Q438" i="1"/>
  <c r="R438" i="1"/>
  <c r="R437" i="1"/>
  <c r="Q437" i="1"/>
  <c r="P437" i="1"/>
  <c r="T436" i="4"/>
  <c r="S436" i="4"/>
  <c r="R436" i="4"/>
  <c r="R421" i="4"/>
  <c r="S421" i="4"/>
  <c r="T421" i="4"/>
  <c r="R422" i="4"/>
  <c r="S422" i="4"/>
  <c r="T422" i="4"/>
  <c r="R423" i="4"/>
  <c r="S423" i="4"/>
  <c r="T423" i="4"/>
  <c r="T420" i="4"/>
  <c r="S420" i="4"/>
  <c r="R420" i="4"/>
  <c r="V398" i="4"/>
  <c r="X398" i="4"/>
  <c r="V399" i="4"/>
  <c r="X399" i="4"/>
  <c r="X397" i="4"/>
  <c r="V397" i="4"/>
  <c r="V315" i="4"/>
  <c r="X315" i="4"/>
  <c r="V316" i="4"/>
  <c r="X316" i="4"/>
  <c r="V317" i="4"/>
  <c r="X317" i="4"/>
  <c r="X314" i="4"/>
  <c r="V314" i="4"/>
  <c r="P209" i="4"/>
  <c r="N209" i="4"/>
  <c r="P208" i="4"/>
  <c r="N208" i="4"/>
  <c r="P207" i="4"/>
  <c r="N207" i="4"/>
  <c r="P206" i="4"/>
  <c r="N206" i="4"/>
  <c r="P205" i="4"/>
  <c r="N205" i="4"/>
  <c r="P204" i="4"/>
  <c r="N204" i="4"/>
  <c r="P203" i="4"/>
  <c r="N203" i="4"/>
  <c r="P202" i="4"/>
  <c r="N202" i="4"/>
  <c r="P201" i="4"/>
  <c r="N201" i="4"/>
  <c r="N190" i="4"/>
  <c r="P190" i="4"/>
  <c r="N191" i="4"/>
  <c r="P191" i="4"/>
  <c r="N192" i="4"/>
  <c r="P192" i="4"/>
  <c r="N193" i="4"/>
  <c r="P193" i="4"/>
  <c r="N194" i="4"/>
  <c r="P194" i="4"/>
  <c r="N195" i="4"/>
  <c r="P195" i="4"/>
  <c r="N196" i="4"/>
  <c r="P196" i="4"/>
  <c r="N197" i="4"/>
  <c r="P197" i="4"/>
  <c r="P189" i="4"/>
  <c r="N189" i="4"/>
  <c r="R185" i="4"/>
  <c r="S185" i="4"/>
  <c r="T185" i="4"/>
  <c r="R187" i="4"/>
  <c r="S187" i="4"/>
  <c r="T187" i="4"/>
  <c r="T184" i="4"/>
  <c r="S184" i="4"/>
  <c r="R184" i="4"/>
  <c r="X161" i="4"/>
  <c r="V161" i="4"/>
  <c r="X158" i="4"/>
  <c r="V158" i="4"/>
  <c r="X157" i="4"/>
  <c r="V157" i="4"/>
  <c r="X156" i="4"/>
  <c r="V156" i="4"/>
  <c r="T151" i="4"/>
  <c r="S151" i="4"/>
  <c r="R151" i="4"/>
  <c r="R80" i="4"/>
  <c r="S80" i="4"/>
  <c r="T80" i="4"/>
  <c r="R79" i="4"/>
  <c r="S79" i="4"/>
  <c r="T79" i="4"/>
  <c r="T78" i="4"/>
  <c r="S78" i="4"/>
  <c r="R78" i="4"/>
  <c r="T71" i="4"/>
  <c r="S71" i="4"/>
  <c r="R71" i="4"/>
  <c r="R62" i="4"/>
  <c r="S62" i="4"/>
  <c r="T62" i="4"/>
  <c r="R63" i="4"/>
  <c r="S63" i="4"/>
  <c r="T63" i="4"/>
  <c r="R64" i="4"/>
  <c r="S64" i="4"/>
  <c r="T64" i="4"/>
  <c r="R65" i="4"/>
  <c r="S65" i="4"/>
  <c r="T65" i="4"/>
  <c r="R66" i="4"/>
  <c r="S66" i="4"/>
  <c r="T66" i="4"/>
  <c r="R67" i="4"/>
  <c r="S67" i="4"/>
  <c r="T67" i="4"/>
  <c r="R68" i="4"/>
  <c r="S68" i="4"/>
  <c r="T68" i="4"/>
  <c r="R69" i="4"/>
  <c r="S69" i="4"/>
  <c r="T69" i="4"/>
  <c r="R70" i="4"/>
  <c r="S70" i="4"/>
  <c r="T70" i="4"/>
  <c r="T61" i="4"/>
  <c r="S61" i="4"/>
  <c r="R61" i="4"/>
  <c r="P47" i="4"/>
  <c r="N47" i="4"/>
  <c r="P46" i="4"/>
  <c r="N46" i="4"/>
  <c r="P45" i="4"/>
  <c r="N45" i="4"/>
  <c r="R36" i="4"/>
  <c r="S36" i="4"/>
  <c r="T36" i="4"/>
  <c r="R37" i="4"/>
  <c r="S37" i="4"/>
  <c r="T37" i="4"/>
  <c r="R38" i="4"/>
  <c r="S38" i="4"/>
  <c r="T38" i="4"/>
  <c r="R39" i="4"/>
  <c r="S39" i="4"/>
  <c r="T39" i="4"/>
  <c r="T35" i="4"/>
  <c r="S35" i="4"/>
  <c r="R35" i="4"/>
  <c r="R30" i="4"/>
  <c r="S30" i="4"/>
  <c r="T30" i="4"/>
  <c r="R29" i="4"/>
  <c r="S29" i="4"/>
  <c r="T29" i="4"/>
  <c r="R28" i="4"/>
  <c r="S28" i="4"/>
  <c r="T28" i="4"/>
  <c r="R27" i="4"/>
  <c r="S27" i="4"/>
  <c r="T27" i="4"/>
  <c r="T26" i="4"/>
  <c r="S26" i="4"/>
  <c r="R26" i="4"/>
  <c r="T21" i="4"/>
  <c r="S21" i="4"/>
  <c r="R21" i="4"/>
  <c r="R15" i="4"/>
  <c r="S15" i="4"/>
  <c r="T15" i="4"/>
  <c r="T14" i="4"/>
  <c r="S14" i="4"/>
  <c r="R14" i="4"/>
  <c r="T16" i="4"/>
  <c r="S16" i="4"/>
  <c r="R16" i="4"/>
  <c r="R10" i="4"/>
  <c r="S10" i="4"/>
  <c r="T10" i="4"/>
  <c r="R11" i="4"/>
  <c r="S11" i="4"/>
  <c r="T11" i="4"/>
  <c r="S5" i="4"/>
  <c r="T5" i="4"/>
  <c r="S6" i="4"/>
  <c r="T6" i="4"/>
  <c r="S7" i="4"/>
  <c r="T7" i="4"/>
  <c r="R6" i="4"/>
  <c r="R7" i="4"/>
  <c r="R5" i="4"/>
  <c r="T4" i="4"/>
  <c r="S4" i="4"/>
  <c r="R4" i="4"/>
  <c r="S60" i="4" l="1"/>
  <c r="R518" i="4"/>
  <c r="R559" i="4"/>
  <c r="S559" i="4"/>
  <c r="T518" i="4"/>
  <c r="T457" i="4"/>
  <c r="R457" i="4"/>
  <c r="F852" i="4"/>
  <c r="F851" i="4"/>
  <c r="J851" i="4" s="1"/>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J802" i="4"/>
  <c r="J801" i="4"/>
  <c r="J800" i="4"/>
  <c r="J799" i="4"/>
  <c r="J798" i="4"/>
  <c r="J797" i="4"/>
  <c r="J796" i="4"/>
  <c r="J795" i="4"/>
  <c r="J793" i="4"/>
  <c r="J792" i="4"/>
  <c r="J791" i="4"/>
  <c r="J790" i="4"/>
  <c r="J789" i="4"/>
  <c r="J787" i="4"/>
  <c r="J779" i="4"/>
  <c r="J778" i="4"/>
  <c r="J777" i="4"/>
  <c r="J776" i="4"/>
  <c r="J773" i="4"/>
  <c r="J771" i="4"/>
  <c r="J750" i="4"/>
  <c r="J749" i="4"/>
  <c r="J748" i="4"/>
  <c r="J747" i="4"/>
  <c r="J726" i="4"/>
  <c r="J725" i="4"/>
  <c r="J724" i="4"/>
  <c r="J723" i="4"/>
  <c r="J720" i="4"/>
  <c r="J719" i="4"/>
  <c r="J718" i="4"/>
  <c r="J717" i="4"/>
  <c r="J716" i="4"/>
  <c r="J715" i="4"/>
  <c r="J714" i="4"/>
  <c r="J713" i="4"/>
  <c r="J712" i="4"/>
  <c r="J711" i="4"/>
  <c r="J710" i="4"/>
  <c r="J692" i="4"/>
  <c r="J691" i="4"/>
  <c r="J690" i="4"/>
  <c r="J689" i="4"/>
  <c r="J688" i="4"/>
  <c r="J687" i="4"/>
  <c r="J683" i="4"/>
  <c r="J682" i="4"/>
  <c r="J681" i="4"/>
  <c r="J680" i="4"/>
  <c r="J674" i="4"/>
  <c r="J673" i="4"/>
  <c r="J672" i="4"/>
  <c r="J671" i="4"/>
  <c r="J670" i="4"/>
  <c r="J669" i="4"/>
  <c r="J668" i="4"/>
  <c r="J660" i="4"/>
  <c r="J659" i="4"/>
  <c r="J658" i="4"/>
  <c r="J629" i="4"/>
  <c r="J628" i="4"/>
  <c r="J627" i="4"/>
  <c r="J626" i="4"/>
  <c r="J625" i="4"/>
  <c r="J623" i="4"/>
  <c r="J622" i="4"/>
  <c r="J621" i="4"/>
  <c r="J618" i="4"/>
  <c r="J616" i="4"/>
  <c r="J610" i="4"/>
  <c r="J609" i="4"/>
  <c r="J608" i="4"/>
  <c r="J607" i="4"/>
  <c r="J606" i="4"/>
  <c r="J605" i="4"/>
  <c r="J604" i="4"/>
  <c r="J603" i="4"/>
  <c r="J600" i="4"/>
  <c r="J599" i="4"/>
  <c r="J598" i="4"/>
  <c r="J597" i="4"/>
  <c r="J527" i="4"/>
  <c r="J526" i="4"/>
  <c r="J525" i="4"/>
  <c r="J524" i="4"/>
  <c r="J517" i="4"/>
  <c r="J515" i="4"/>
  <c r="J514" i="4"/>
  <c r="J513" i="4"/>
  <c r="J512" i="4"/>
  <c r="J511" i="4"/>
  <c r="J508" i="4"/>
  <c r="J504" i="4"/>
  <c r="J503" i="4"/>
  <c r="J502" i="4"/>
  <c r="J498" i="4"/>
  <c r="J497" i="4"/>
  <c r="J496" i="4"/>
  <c r="J492" i="4"/>
  <c r="J491" i="4"/>
  <c r="J486" i="4"/>
  <c r="J485" i="4"/>
  <c r="J478" i="4"/>
  <c r="J475" i="4"/>
  <c r="J474" i="4"/>
  <c r="J473" i="4"/>
  <c r="J471" i="4"/>
  <c r="J470" i="4"/>
  <c r="J467" i="4"/>
  <c r="J466" i="4"/>
  <c r="J458" i="4"/>
  <c r="J454" i="4"/>
  <c r="J453" i="4"/>
  <c r="J452" i="4"/>
  <c r="J451" i="4"/>
  <c r="J450" i="4"/>
  <c r="J448" i="4"/>
  <c r="J447" i="4"/>
  <c r="J442" i="4"/>
  <c r="J441" i="4"/>
  <c r="J440" i="4"/>
  <c r="J439" i="4"/>
  <c r="J438" i="4"/>
  <c r="J437" i="4"/>
  <c r="J436" i="4"/>
  <c r="J434" i="4"/>
  <c r="J433" i="4"/>
  <c r="J431" i="4"/>
  <c r="J430" i="4"/>
  <c r="J429" i="4"/>
  <c r="J428" i="4"/>
  <c r="J427" i="4"/>
  <c r="J426" i="4"/>
  <c r="J425" i="4"/>
  <c r="J424" i="4"/>
  <c r="J423" i="4"/>
  <c r="J422" i="4"/>
  <c r="J421" i="4"/>
  <c r="J420" i="4"/>
  <c r="J419" i="4"/>
  <c r="J418" i="4"/>
  <c r="J417" i="4"/>
  <c r="J416" i="4"/>
  <c r="J415" i="4"/>
  <c r="J414" i="4"/>
  <c r="J413" i="4"/>
  <c r="J412" i="4"/>
  <c r="J411" i="4"/>
  <c r="J410" i="4"/>
  <c r="J409" i="4"/>
  <c r="J408" i="4"/>
  <c r="J407" i="4"/>
  <c r="J406" i="4"/>
  <c r="J405" i="4"/>
  <c r="J404" i="4"/>
  <c r="J403" i="4"/>
  <c r="J402" i="4"/>
  <c r="J401" i="4"/>
  <c r="J400" i="4"/>
  <c r="J399" i="4"/>
  <c r="J398" i="4"/>
  <c r="J397" i="4"/>
  <c r="J396" i="4"/>
  <c r="J395" i="4"/>
  <c r="J394" i="4"/>
  <c r="J393" i="4"/>
  <c r="J392" i="4"/>
  <c r="J391" i="4"/>
  <c r="J390" i="4"/>
  <c r="J389" i="4"/>
  <c r="J388" i="4"/>
  <c r="J387" i="4"/>
  <c r="J386" i="4"/>
  <c r="J385" i="4"/>
  <c r="J384" i="4"/>
  <c r="J383" i="4"/>
  <c r="J382" i="4"/>
  <c r="J381" i="4"/>
  <c r="J380" i="4"/>
  <c r="J379" i="4"/>
  <c r="J378" i="4"/>
  <c r="J377" i="4"/>
  <c r="J376" i="4"/>
  <c r="J375" i="4"/>
  <c r="J374" i="4"/>
  <c r="J373" i="4"/>
  <c r="J372" i="4"/>
  <c r="J371" i="4"/>
  <c r="J370" i="4"/>
  <c r="J369" i="4"/>
  <c r="J368" i="4"/>
  <c r="J367" i="4"/>
  <c r="J366" i="4"/>
  <c r="J365" i="4"/>
  <c r="J364" i="4"/>
  <c r="J363" i="4"/>
  <c r="J362" i="4"/>
  <c r="J350" i="4"/>
  <c r="J349" i="4"/>
  <c r="J348" i="4"/>
  <c r="J347" i="4"/>
  <c r="J346" i="4"/>
  <c r="J345" i="4"/>
  <c r="J344" i="4"/>
  <c r="J343" i="4"/>
  <c r="J342" i="4"/>
  <c r="J336" i="4"/>
  <c r="J335" i="4"/>
  <c r="J334" i="4"/>
  <c r="J330" i="4"/>
  <c r="J329" i="4"/>
  <c r="J328" i="4"/>
  <c r="J327" i="4"/>
  <c r="J326" i="4"/>
  <c r="J325" i="4"/>
  <c r="J324" i="4"/>
  <c r="J323" i="4"/>
  <c r="J322" i="4"/>
  <c r="J321" i="4"/>
  <c r="J320" i="4"/>
  <c r="J319" i="4"/>
  <c r="J318" i="4"/>
  <c r="J317" i="4"/>
  <c r="J316" i="4"/>
  <c r="J315" i="4"/>
  <c r="J314" i="4"/>
  <c r="J309" i="4"/>
  <c r="J278" i="4"/>
  <c r="J277" i="4"/>
  <c r="J276" i="4"/>
  <c r="J275" i="4"/>
  <c r="J272" i="4"/>
  <c r="J268" i="4"/>
  <c r="J267" i="4"/>
  <c r="J266" i="4"/>
  <c r="J265" i="4"/>
  <c r="J264" i="4"/>
  <c r="J263" i="4"/>
  <c r="J262" i="4"/>
  <c r="J261" i="4"/>
  <c r="J258" i="4"/>
  <c r="J257" i="4"/>
  <c r="J252" i="4"/>
  <c r="J251" i="4"/>
  <c r="J250" i="4"/>
  <c r="J249" i="4"/>
  <c r="J242" i="4"/>
  <c r="J241" i="4"/>
  <c r="J237" i="4"/>
  <c r="J236" i="4"/>
  <c r="J235" i="4"/>
  <c r="J234" i="4"/>
  <c r="J233" i="4"/>
  <c r="J232" i="4"/>
  <c r="J231" i="4"/>
  <c r="J230" i="4"/>
  <c r="J229" i="4"/>
  <c r="J228" i="4"/>
  <c r="J227" i="4"/>
  <c r="J226" i="4"/>
  <c r="J225" i="4"/>
  <c r="J224" i="4"/>
  <c r="J223" i="4"/>
  <c r="J222" i="4"/>
  <c r="J221" i="4"/>
  <c r="J220" i="4"/>
  <c r="J219" i="4"/>
  <c r="J218" i="4"/>
  <c r="J217" i="4"/>
  <c r="J216" i="4"/>
  <c r="J214" i="4"/>
  <c r="J213" i="4"/>
  <c r="J212" i="4"/>
  <c r="J211" i="4"/>
  <c r="J209" i="4"/>
  <c r="R209" i="4" s="1"/>
  <c r="J208" i="4"/>
  <c r="S208" i="4" s="1"/>
  <c r="J207" i="4"/>
  <c r="J206" i="4"/>
  <c r="R206" i="4" s="1"/>
  <c r="J205" i="4"/>
  <c r="J204" i="4"/>
  <c r="S204" i="4" s="1"/>
  <c r="J203" i="4"/>
  <c r="J202" i="4"/>
  <c r="J201" i="4"/>
  <c r="S201" i="4" s="1"/>
  <c r="J200" i="4"/>
  <c r="J199" i="4"/>
  <c r="J195" i="4"/>
  <c r="S195" i="4" s="1"/>
  <c r="J194" i="4"/>
  <c r="S194" i="4" s="1"/>
  <c r="J193" i="4"/>
  <c r="S193" i="4" s="1"/>
  <c r="J192" i="4"/>
  <c r="J191" i="4"/>
  <c r="S191" i="4" s="1"/>
  <c r="J190" i="4"/>
  <c r="S190" i="4" s="1"/>
  <c r="J189" i="4"/>
  <c r="S189" i="4" s="1"/>
  <c r="J188" i="4"/>
  <c r="J161" i="4"/>
  <c r="J158" i="4"/>
  <c r="J157" i="4"/>
  <c r="J156" i="4"/>
  <c r="J155" i="4"/>
  <c r="J154" i="4"/>
  <c r="J153" i="4"/>
  <c r="J152" i="4"/>
  <c r="J150" i="4"/>
  <c r="J149" i="4"/>
  <c r="J148" i="4"/>
  <c r="J147" i="4"/>
  <c r="J146" i="4"/>
  <c r="J145" i="4"/>
  <c r="J144" i="4"/>
  <c r="J143" i="4"/>
  <c r="J142" i="4"/>
  <c r="J141" i="4"/>
  <c r="J140" i="4"/>
  <c r="J139" i="4"/>
  <c r="J138" i="4"/>
  <c r="J137" i="4"/>
  <c r="J136" i="4"/>
  <c r="J135" i="4"/>
  <c r="J134" i="4"/>
  <c r="J133" i="4"/>
  <c r="J132" i="4"/>
  <c r="J131" i="4"/>
  <c r="J125" i="4"/>
  <c r="J124" i="4"/>
  <c r="J123" i="4"/>
  <c r="J122" i="4"/>
  <c r="J118" i="4"/>
  <c r="J117" i="4"/>
  <c r="J116" i="4"/>
  <c r="J109" i="4"/>
  <c r="J108" i="4"/>
  <c r="J107" i="4"/>
  <c r="J106" i="4"/>
  <c r="J105" i="4"/>
  <c r="J104" i="4"/>
  <c r="J103" i="4"/>
  <c r="J102" i="4"/>
  <c r="J101" i="4"/>
  <c r="J100" i="4"/>
  <c r="J99" i="4"/>
  <c r="J98" i="4"/>
  <c r="J97" i="4"/>
  <c r="J96" i="4"/>
  <c r="J95" i="4"/>
  <c r="J94" i="4"/>
  <c r="J93" i="4"/>
  <c r="J92" i="4"/>
  <c r="J91" i="4"/>
  <c r="J90" i="4"/>
  <c r="J89" i="4"/>
  <c r="J88" i="4"/>
  <c r="J85" i="4"/>
  <c r="J84" i="4"/>
  <c r="J83" i="4"/>
  <c r="J82" i="4"/>
  <c r="J81" i="4"/>
  <c r="J59" i="4"/>
  <c r="J58" i="4"/>
  <c r="J57" i="4"/>
  <c r="J56" i="4"/>
  <c r="J55" i="4"/>
  <c r="J54" i="4"/>
  <c r="J53" i="4"/>
  <c r="J52" i="4"/>
  <c r="J51" i="4"/>
  <c r="J50" i="4"/>
  <c r="J47" i="4"/>
  <c r="J46" i="4"/>
  <c r="J45" i="4"/>
  <c r="S45" i="4" s="1"/>
  <c r="J41" i="4"/>
  <c r="J40" i="4"/>
  <c r="J34" i="4"/>
  <c r="J33" i="4"/>
  <c r="J32" i="4"/>
  <c r="J31" i="4"/>
  <c r="J22" i="4"/>
  <c r="J20" i="4"/>
  <c r="J19" i="4"/>
  <c r="J18" i="4"/>
  <c r="J17" i="4"/>
  <c r="J8" i="4"/>
  <c r="R680" i="4" l="1"/>
  <c r="S680" i="4"/>
  <c r="T680" i="4"/>
  <c r="S687" i="4"/>
  <c r="T687" i="4"/>
  <c r="R687" i="4"/>
  <c r="R691" i="4"/>
  <c r="S691" i="4"/>
  <c r="T691" i="4"/>
  <c r="T712" i="4"/>
  <c r="R712" i="4"/>
  <c r="S712" i="4"/>
  <c r="T716" i="4"/>
  <c r="R716" i="4"/>
  <c r="S716" i="4"/>
  <c r="R720" i="4"/>
  <c r="S720" i="4"/>
  <c r="T720" i="4"/>
  <c r="R726" i="4"/>
  <c r="S726" i="4"/>
  <c r="T726" i="4"/>
  <c r="S777" i="4"/>
  <c r="T777" i="4"/>
  <c r="R777" i="4"/>
  <c r="S789" i="4"/>
  <c r="T789" i="4"/>
  <c r="R789" i="4"/>
  <c r="S793" i="4"/>
  <c r="T793" i="4"/>
  <c r="R793" i="4"/>
  <c r="S798" i="4"/>
  <c r="T798" i="4"/>
  <c r="R798" i="4"/>
  <c r="R802" i="4"/>
  <c r="S802" i="4"/>
  <c r="T802" i="4"/>
  <c r="S681" i="4"/>
  <c r="T681" i="4"/>
  <c r="R681" i="4"/>
  <c r="T688" i="4"/>
  <c r="R688" i="4"/>
  <c r="S688" i="4"/>
  <c r="S692" i="4"/>
  <c r="T692" i="4"/>
  <c r="R692" i="4"/>
  <c r="R713" i="4"/>
  <c r="S713" i="4"/>
  <c r="T713" i="4"/>
  <c r="R717" i="4"/>
  <c r="S717" i="4"/>
  <c r="T717" i="4"/>
  <c r="R723" i="4"/>
  <c r="S723" i="4"/>
  <c r="T723" i="4"/>
  <c r="T771" i="4"/>
  <c r="S771" i="4"/>
  <c r="R771" i="4"/>
  <c r="T778" i="4"/>
  <c r="R778" i="4"/>
  <c r="S778" i="4"/>
  <c r="T790" i="4"/>
  <c r="R790" i="4"/>
  <c r="S790" i="4"/>
  <c r="T795" i="4"/>
  <c r="R795" i="4"/>
  <c r="S795" i="4"/>
  <c r="R799" i="4"/>
  <c r="S799" i="4"/>
  <c r="T799" i="4"/>
  <c r="R673" i="4"/>
  <c r="S673" i="4"/>
  <c r="T673" i="4"/>
  <c r="T682" i="4"/>
  <c r="R682" i="4"/>
  <c r="S682" i="4"/>
  <c r="R689" i="4"/>
  <c r="S689" i="4"/>
  <c r="T689" i="4"/>
  <c r="R710" i="4"/>
  <c r="S710" i="4"/>
  <c r="T710" i="4"/>
  <c r="R714" i="4"/>
  <c r="S714" i="4"/>
  <c r="T714" i="4"/>
  <c r="S718" i="4"/>
  <c r="T718" i="4"/>
  <c r="R718" i="4"/>
  <c r="S724" i="4"/>
  <c r="T724" i="4"/>
  <c r="R724" i="4"/>
  <c r="T773" i="4"/>
  <c r="R773" i="4"/>
  <c r="S773" i="4"/>
  <c r="R779" i="4"/>
  <c r="S779" i="4"/>
  <c r="T779" i="4"/>
  <c r="R791" i="4"/>
  <c r="S791" i="4"/>
  <c r="T791" i="4"/>
  <c r="R796" i="4"/>
  <c r="S796" i="4"/>
  <c r="T796" i="4"/>
  <c r="S800" i="4"/>
  <c r="T800" i="4"/>
  <c r="R800" i="4"/>
  <c r="S674" i="4"/>
  <c r="T674" i="4"/>
  <c r="R674" i="4"/>
  <c r="R683" i="4"/>
  <c r="S683" i="4"/>
  <c r="T683" i="4"/>
  <c r="R690" i="4"/>
  <c r="S690" i="4"/>
  <c r="T690" i="4"/>
  <c r="S711" i="4"/>
  <c r="T711" i="4"/>
  <c r="R711" i="4"/>
  <c r="S715" i="4"/>
  <c r="T715" i="4"/>
  <c r="R715" i="4"/>
  <c r="T719" i="4"/>
  <c r="R719" i="4"/>
  <c r="S719" i="4"/>
  <c r="T725" i="4"/>
  <c r="R725" i="4"/>
  <c r="S725" i="4"/>
  <c r="R776" i="4"/>
  <c r="S776" i="4"/>
  <c r="T776" i="4"/>
  <c r="R787" i="4"/>
  <c r="S787" i="4"/>
  <c r="T787" i="4"/>
  <c r="R792" i="4"/>
  <c r="S792" i="4"/>
  <c r="T792" i="4"/>
  <c r="R797" i="4"/>
  <c r="S797" i="4"/>
  <c r="T797" i="4"/>
  <c r="T801" i="4"/>
  <c r="R801" i="4"/>
  <c r="S801" i="4"/>
  <c r="T404" i="4"/>
  <c r="S404" i="4"/>
  <c r="R404" i="4"/>
  <c r="S408" i="4"/>
  <c r="R408" i="4"/>
  <c r="T408" i="4"/>
  <c r="R412" i="4"/>
  <c r="T412" i="4"/>
  <c r="S412" i="4"/>
  <c r="T416" i="4"/>
  <c r="S416" i="4"/>
  <c r="R416" i="4"/>
  <c r="T424" i="4"/>
  <c r="S424" i="4"/>
  <c r="R424" i="4"/>
  <c r="S428" i="4"/>
  <c r="R428" i="4"/>
  <c r="T428" i="4"/>
  <c r="T433" i="4"/>
  <c r="R433" i="4"/>
  <c r="S433" i="4"/>
  <c r="R442" i="4"/>
  <c r="S442" i="4"/>
  <c r="T442" i="4"/>
  <c r="T451" i="4"/>
  <c r="R451" i="4"/>
  <c r="S451" i="4"/>
  <c r="S458" i="4"/>
  <c r="T458" i="4"/>
  <c r="R458" i="4"/>
  <c r="S471" i="4"/>
  <c r="T471" i="4"/>
  <c r="R471" i="4"/>
  <c r="S492" i="4"/>
  <c r="R492" i="4"/>
  <c r="T492" i="4"/>
  <c r="T502" i="4"/>
  <c r="R502" i="4"/>
  <c r="S502" i="4"/>
  <c r="S511" i="4"/>
  <c r="T511" i="4"/>
  <c r="R511" i="4"/>
  <c r="S515" i="4"/>
  <c r="T515" i="4"/>
  <c r="R515" i="4"/>
  <c r="R526" i="4"/>
  <c r="T526" i="4"/>
  <c r="S526" i="4"/>
  <c r="S605" i="4"/>
  <c r="R605" i="4"/>
  <c r="T605" i="4"/>
  <c r="S609" i="4"/>
  <c r="R609" i="4"/>
  <c r="T609" i="4"/>
  <c r="S626" i="4"/>
  <c r="R626" i="4"/>
  <c r="T626" i="4"/>
  <c r="T658" i="4"/>
  <c r="S658" i="4"/>
  <c r="R658" i="4"/>
  <c r="R669" i="4"/>
  <c r="S669" i="4"/>
  <c r="T669" i="4"/>
  <c r="T193" i="4"/>
  <c r="R201" i="4"/>
  <c r="R45" i="4"/>
  <c r="T204" i="4"/>
  <c r="T190" i="4"/>
  <c r="R194" i="4"/>
  <c r="S33" i="4"/>
  <c r="R33" i="4"/>
  <c r="T33" i="4"/>
  <c r="R51" i="4"/>
  <c r="S51" i="4"/>
  <c r="T51" i="4"/>
  <c r="T55" i="4"/>
  <c r="S55" i="4"/>
  <c r="R55" i="4"/>
  <c r="S90" i="4"/>
  <c r="R90" i="4"/>
  <c r="T90" i="4"/>
  <c r="R98" i="4"/>
  <c r="S98" i="4"/>
  <c r="T98" i="4"/>
  <c r="R106" i="4"/>
  <c r="T106" i="4"/>
  <c r="S106" i="4"/>
  <c r="R116" i="4"/>
  <c r="S116" i="4"/>
  <c r="T116" i="4"/>
  <c r="S125" i="4"/>
  <c r="T125" i="4"/>
  <c r="R125" i="4"/>
  <c r="R138" i="4"/>
  <c r="S138" i="4"/>
  <c r="T138" i="4"/>
  <c r="S142" i="4"/>
  <c r="R142" i="4"/>
  <c r="T142" i="4"/>
  <c r="S150" i="4"/>
  <c r="R150" i="4"/>
  <c r="T150" i="4"/>
  <c r="R155" i="4"/>
  <c r="S155" i="4"/>
  <c r="T155" i="4"/>
  <c r="T206" i="4"/>
  <c r="S206" i="4"/>
  <c r="R223" i="4"/>
  <c r="T223" i="4"/>
  <c r="S223" i="4"/>
  <c r="R231" i="4"/>
  <c r="S231" i="4"/>
  <c r="T231" i="4"/>
  <c r="S242" i="4"/>
  <c r="T242" i="4"/>
  <c r="R242" i="4"/>
  <c r="R266" i="4"/>
  <c r="T266" i="4"/>
  <c r="S266" i="4"/>
  <c r="S46" i="4"/>
  <c r="T46" i="4"/>
  <c r="R56" i="4"/>
  <c r="S56" i="4"/>
  <c r="T56" i="4"/>
  <c r="T81" i="4"/>
  <c r="S81" i="4"/>
  <c r="R81" i="4"/>
  <c r="R95" i="4"/>
  <c r="T95" i="4"/>
  <c r="S95" i="4"/>
  <c r="S103" i="4"/>
  <c r="R103" i="4"/>
  <c r="T103" i="4"/>
  <c r="S107" i="4"/>
  <c r="R107" i="4"/>
  <c r="T107" i="4"/>
  <c r="R122" i="4"/>
  <c r="T122" i="4"/>
  <c r="S122" i="4"/>
  <c r="R131" i="4"/>
  <c r="S131" i="4"/>
  <c r="T131" i="4"/>
  <c r="S135" i="4"/>
  <c r="R135" i="4"/>
  <c r="T135" i="4"/>
  <c r="T143" i="4"/>
  <c r="R143" i="4"/>
  <c r="S143" i="4"/>
  <c r="R147" i="4"/>
  <c r="S147" i="4"/>
  <c r="T147" i="4"/>
  <c r="S152" i="4"/>
  <c r="R152" i="4"/>
  <c r="T152" i="4"/>
  <c r="R156" i="4"/>
  <c r="S156" i="4"/>
  <c r="T156" i="4"/>
  <c r="S188" i="4"/>
  <c r="T188" i="4"/>
  <c r="R188" i="4"/>
  <c r="S192" i="4"/>
  <c r="T192" i="4"/>
  <c r="R199" i="4"/>
  <c r="S199" i="4"/>
  <c r="T199" i="4"/>
  <c r="S203" i="4"/>
  <c r="T203" i="4"/>
  <c r="R203" i="4"/>
  <c r="S207" i="4"/>
  <c r="T207" i="4"/>
  <c r="T216" i="4"/>
  <c r="S216" i="4"/>
  <c r="R216" i="4"/>
  <c r="S220" i="4"/>
  <c r="T220" i="4"/>
  <c r="R220" i="4"/>
  <c r="S224" i="4"/>
  <c r="R224" i="4"/>
  <c r="T224" i="4"/>
  <c r="R232" i="4"/>
  <c r="T232" i="4"/>
  <c r="S232" i="4"/>
  <c r="T249" i="4"/>
  <c r="R249" i="4"/>
  <c r="S249" i="4"/>
  <c r="S263" i="4"/>
  <c r="T263" i="4"/>
  <c r="R263" i="4"/>
  <c r="S276" i="4"/>
  <c r="T276" i="4"/>
  <c r="R276" i="4"/>
  <c r="T286" i="4"/>
  <c r="S286" i="4"/>
  <c r="R286" i="4"/>
  <c r="T294" i="4"/>
  <c r="R294" i="4"/>
  <c r="S294" i="4"/>
  <c r="T302" i="4"/>
  <c r="S302" i="4"/>
  <c r="R302" i="4"/>
  <c r="T310" i="4"/>
  <c r="R310" i="4"/>
  <c r="S310" i="4"/>
  <c r="S314" i="4"/>
  <c r="T314" i="4"/>
  <c r="R314" i="4"/>
  <c r="T322" i="4"/>
  <c r="R322" i="4"/>
  <c r="S322" i="4"/>
  <c r="S330" i="4"/>
  <c r="R330" i="4"/>
  <c r="T330" i="4"/>
  <c r="R345" i="4"/>
  <c r="S345" i="4"/>
  <c r="T345" i="4"/>
  <c r="S364" i="4"/>
  <c r="R364" i="4"/>
  <c r="T364" i="4"/>
  <c r="S372" i="4"/>
  <c r="T372" i="4"/>
  <c r="R372" i="4"/>
  <c r="S380" i="4"/>
  <c r="R380" i="4"/>
  <c r="T380" i="4"/>
  <c r="S396" i="4"/>
  <c r="R396" i="4"/>
  <c r="T396" i="4"/>
  <c r="T40" i="4"/>
  <c r="R40" i="4"/>
  <c r="S40" i="4"/>
  <c r="T53" i="4"/>
  <c r="R53" i="4"/>
  <c r="S53" i="4"/>
  <c r="T82" i="4"/>
  <c r="S82" i="4"/>
  <c r="R82" i="4"/>
  <c r="S92" i="4"/>
  <c r="T92" i="4"/>
  <c r="R92" i="4"/>
  <c r="T100" i="4"/>
  <c r="S100" i="4"/>
  <c r="R100" i="4"/>
  <c r="T104" i="4"/>
  <c r="R104" i="4"/>
  <c r="S104" i="4"/>
  <c r="T108" i="4"/>
  <c r="S108" i="4"/>
  <c r="R108" i="4"/>
  <c r="T118" i="4"/>
  <c r="R118" i="4"/>
  <c r="S118" i="4"/>
  <c r="S123" i="4"/>
  <c r="R123" i="4"/>
  <c r="T123" i="4"/>
  <c r="R132" i="4"/>
  <c r="S132" i="4"/>
  <c r="T132" i="4"/>
  <c r="R136" i="4"/>
  <c r="S136" i="4"/>
  <c r="T136" i="4"/>
  <c r="R140" i="4"/>
  <c r="S140" i="4"/>
  <c r="T140" i="4"/>
  <c r="R144" i="4"/>
  <c r="S144" i="4"/>
  <c r="T144" i="4"/>
  <c r="S148" i="4"/>
  <c r="R148" i="4"/>
  <c r="T148" i="4"/>
  <c r="T153" i="4"/>
  <c r="S153" i="4"/>
  <c r="R153" i="4"/>
  <c r="R157" i="4"/>
  <c r="T157" i="4"/>
  <c r="S157" i="4"/>
  <c r="S200" i="4"/>
  <c r="R200" i="4"/>
  <c r="T200" i="4"/>
  <c r="R212" i="4"/>
  <c r="T212" i="4"/>
  <c r="S212" i="4"/>
  <c r="T217" i="4"/>
  <c r="R217" i="4"/>
  <c r="S217" i="4"/>
  <c r="T221" i="4"/>
  <c r="R221" i="4"/>
  <c r="S221" i="4"/>
  <c r="T225" i="4"/>
  <c r="S225" i="4"/>
  <c r="R225" i="4"/>
  <c r="T229" i="4"/>
  <c r="S229" i="4"/>
  <c r="R229" i="4"/>
  <c r="S233" i="4"/>
  <c r="R233" i="4"/>
  <c r="T233" i="4"/>
  <c r="S237" i="4"/>
  <c r="T237" i="4"/>
  <c r="R237" i="4"/>
  <c r="S250" i="4"/>
  <c r="T250" i="4"/>
  <c r="R250" i="4"/>
  <c r="T258" i="4"/>
  <c r="S258" i="4"/>
  <c r="R258" i="4"/>
  <c r="T264" i="4"/>
  <c r="R264" i="4"/>
  <c r="S264" i="4"/>
  <c r="T268" i="4"/>
  <c r="S268" i="4"/>
  <c r="R268" i="4"/>
  <c r="R277" i="4"/>
  <c r="T277" i="4"/>
  <c r="S277" i="4"/>
  <c r="S283" i="4"/>
  <c r="T283" i="4"/>
  <c r="R283" i="4"/>
  <c r="R287" i="4"/>
  <c r="S287" i="4"/>
  <c r="T287" i="4"/>
  <c r="R291" i="4"/>
  <c r="T291" i="4"/>
  <c r="S291" i="4"/>
  <c r="T295" i="4"/>
  <c r="S295" i="4"/>
  <c r="R295" i="4"/>
  <c r="S299" i="4"/>
  <c r="T299" i="4"/>
  <c r="R299" i="4"/>
  <c r="R303" i="4"/>
  <c r="S303" i="4"/>
  <c r="T303" i="4"/>
  <c r="R307" i="4"/>
  <c r="T307" i="4"/>
  <c r="S307" i="4"/>
  <c r="T311" i="4"/>
  <c r="S311" i="4"/>
  <c r="R311" i="4"/>
  <c r="T315" i="4"/>
  <c r="R315" i="4"/>
  <c r="S315" i="4"/>
  <c r="R319" i="4"/>
  <c r="T319" i="4"/>
  <c r="S319" i="4"/>
  <c r="T323" i="4"/>
  <c r="S323" i="4"/>
  <c r="R323" i="4"/>
  <c r="R327" i="4"/>
  <c r="S327" i="4"/>
  <c r="T327" i="4"/>
  <c r="T334" i="4"/>
  <c r="R334" i="4"/>
  <c r="S334" i="4"/>
  <c r="S342" i="4"/>
  <c r="T342" i="4"/>
  <c r="R342" i="4"/>
  <c r="T346" i="4"/>
  <c r="S346" i="4"/>
  <c r="R346" i="4"/>
  <c r="S350" i="4"/>
  <c r="R350" i="4"/>
  <c r="T350" i="4"/>
  <c r="T365" i="4"/>
  <c r="S365" i="4"/>
  <c r="R365" i="4"/>
  <c r="T369" i="4"/>
  <c r="S369" i="4"/>
  <c r="R369" i="4"/>
  <c r="T373" i="4"/>
  <c r="R373" i="4"/>
  <c r="S373" i="4"/>
  <c r="T377" i="4"/>
  <c r="R377" i="4"/>
  <c r="S377" i="4"/>
  <c r="T381" i="4"/>
  <c r="S381" i="4"/>
  <c r="R381" i="4"/>
  <c r="T385" i="4"/>
  <c r="S385" i="4"/>
  <c r="R385" i="4"/>
  <c r="T389" i="4"/>
  <c r="R389" i="4"/>
  <c r="S389" i="4"/>
  <c r="T393" i="4"/>
  <c r="R393" i="4"/>
  <c r="S393" i="4"/>
  <c r="R397" i="4"/>
  <c r="T397" i="4"/>
  <c r="S397" i="4"/>
  <c r="R401" i="4"/>
  <c r="T401" i="4"/>
  <c r="S401" i="4"/>
  <c r="R405" i="4"/>
  <c r="T405" i="4"/>
  <c r="S405" i="4"/>
  <c r="R409" i="4"/>
  <c r="T409" i="4"/>
  <c r="S409" i="4"/>
  <c r="R413" i="4"/>
  <c r="S413" i="4"/>
  <c r="T413" i="4"/>
  <c r="R417" i="4"/>
  <c r="S417" i="4"/>
  <c r="T417" i="4"/>
  <c r="T425" i="4"/>
  <c r="S425" i="4"/>
  <c r="R425" i="4"/>
  <c r="R429" i="4"/>
  <c r="S429" i="4"/>
  <c r="T429" i="4"/>
  <c r="T434" i="4"/>
  <c r="R434" i="4"/>
  <c r="S434" i="4"/>
  <c r="T439" i="4"/>
  <c r="R439" i="4"/>
  <c r="S439" i="4"/>
  <c r="T447" i="4"/>
  <c r="S447" i="4"/>
  <c r="R447" i="4"/>
  <c r="R452" i="4"/>
  <c r="S452" i="4"/>
  <c r="T452" i="4"/>
  <c r="R466" i="4"/>
  <c r="T466" i="4"/>
  <c r="S466" i="4"/>
  <c r="R485" i="4"/>
  <c r="T485" i="4"/>
  <c r="S485" i="4"/>
  <c r="R496" i="4"/>
  <c r="S496" i="4"/>
  <c r="T496" i="4"/>
  <c r="R503" i="4"/>
  <c r="S503" i="4"/>
  <c r="T503" i="4"/>
  <c r="R512" i="4"/>
  <c r="T512" i="4"/>
  <c r="S512" i="4"/>
  <c r="T517" i="4"/>
  <c r="R517" i="4"/>
  <c r="S517" i="4"/>
  <c r="S527" i="4"/>
  <c r="T527" i="4"/>
  <c r="R527" i="4"/>
  <c r="T606" i="4"/>
  <c r="R606" i="4"/>
  <c r="S606" i="4"/>
  <c r="T610" i="4"/>
  <c r="R610" i="4"/>
  <c r="S610" i="4"/>
  <c r="R622" i="4"/>
  <c r="T622" i="4"/>
  <c r="S622" i="4"/>
  <c r="R627" i="4"/>
  <c r="T627" i="4"/>
  <c r="S627" i="4"/>
  <c r="R659" i="4"/>
  <c r="S659" i="4"/>
  <c r="T659" i="4"/>
  <c r="R670" i="4"/>
  <c r="S670" i="4"/>
  <c r="T670" i="4"/>
  <c r="T195" i="4"/>
  <c r="R191" i="4"/>
  <c r="T194" i="4"/>
  <c r="R207" i="4"/>
  <c r="T189" i="4"/>
  <c r="R204" i="4"/>
  <c r="S59" i="4"/>
  <c r="R59" i="4"/>
  <c r="T59" i="4"/>
  <c r="S84" i="4"/>
  <c r="T84" i="4"/>
  <c r="R84" i="4"/>
  <c r="T94" i="4"/>
  <c r="R94" i="4"/>
  <c r="S94" i="4"/>
  <c r="R102" i="4"/>
  <c r="T102" i="4"/>
  <c r="S102" i="4"/>
  <c r="R121" i="4"/>
  <c r="S121" i="4"/>
  <c r="T121" i="4"/>
  <c r="T134" i="4"/>
  <c r="R134" i="4"/>
  <c r="S134" i="4"/>
  <c r="S146" i="4"/>
  <c r="R146" i="4"/>
  <c r="T146" i="4"/>
  <c r="S161" i="4"/>
  <c r="T161" i="4"/>
  <c r="R161" i="4"/>
  <c r="S202" i="4"/>
  <c r="T202" i="4"/>
  <c r="T210" i="4"/>
  <c r="S210" i="4"/>
  <c r="R210" i="4"/>
  <c r="R219" i="4"/>
  <c r="S219" i="4"/>
  <c r="T219" i="4"/>
  <c r="R227" i="4"/>
  <c r="T227" i="4"/>
  <c r="S227" i="4"/>
  <c r="R235" i="4"/>
  <c r="T235" i="4"/>
  <c r="S235" i="4"/>
  <c r="S252" i="4"/>
  <c r="T252" i="4"/>
  <c r="R252" i="4"/>
  <c r="R262" i="4"/>
  <c r="S262" i="4"/>
  <c r="T262" i="4"/>
  <c r="T34" i="4"/>
  <c r="S34" i="4"/>
  <c r="R34" i="4"/>
  <c r="S52" i="4"/>
  <c r="R52" i="4"/>
  <c r="T52" i="4"/>
  <c r="J87" i="4"/>
  <c r="R85" i="4"/>
  <c r="S85" i="4"/>
  <c r="T85" i="4"/>
  <c r="R91" i="4"/>
  <c r="T91" i="4"/>
  <c r="S91" i="4"/>
  <c r="S99" i="4"/>
  <c r="T99" i="4"/>
  <c r="R99" i="4"/>
  <c r="S117" i="4"/>
  <c r="T117" i="4"/>
  <c r="R117" i="4"/>
  <c r="T139" i="4"/>
  <c r="S139" i="4"/>
  <c r="R139" i="4"/>
  <c r="S228" i="4"/>
  <c r="R228" i="4"/>
  <c r="T228" i="4"/>
  <c r="R236" i="4"/>
  <c r="S236" i="4"/>
  <c r="T236" i="4"/>
  <c r="T257" i="4"/>
  <c r="S257" i="4"/>
  <c r="R257" i="4"/>
  <c r="S267" i="4"/>
  <c r="R267" i="4"/>
  <c r="T267" i="4"/>
  <c r="T282" i="4"/>
  <c r="R282" i="4"/>
  <c r="S282" i="4"/>
  <c r="T290" i="4"/>
  <c r="S290" i="4"/>
  <c r="R290" i="4"/>
  <c r="T298" i="4"/>
  <c r="R298" i="4"/>
  <c r="S298" i="4"/>
  <c r="T306" i="4"/>
  <c r="S306" i="4"/>
  <c r="R306" i="4"/>
  <c r="S318" i="4"/>
  <c r="R318" i="4"/>
  <c r="T318" i="4"/>
  <c r="T326" i="4"/>
  <c r="S326" i="4"/>
  <c r="R326" i="4"/>
  <c r="S340" i="4"/>
  <c r="T340" i="4"/>
  <c r="R340" i="4"/>
  <c r="R349" i="4"/>
  <c r="T349" i="4"/>
  <c r="S349" i="4"/>
  <c r="S368" i="4"/>
  <c r="R368" i="4"/>
  <c r="T368" i="4"/>
  <c r="S376" i="4"/>
  <c r="T376" i="4"/>
  <c r="R376" i="4"/>
  <c r="S384" i="4"/>
  <c r="R384" i="4"/>
  <c r="T384" i="4"/>
  <c r="S388" i="4"/>
  <c r="T388" i="4"/>
  <c r="R388" i="4"/>
  <c r="S392" i="4"/>
  <c r="T392" i="4"/>
  <c r="R392" i="4"/>
  <c r="T400" i="4"/>
  <c r="R400" i="4"/>
  <c r="S400" i="4"/>
  <c r="R31" i="4"/>
  <c r="T31" i="4"/>
  <c r="S31" i="4"/>
  <c r="S47" i="4"/>
  <c r="T47" i="4"/>
  <c r="R47" i="4"/>
  <c r="R57" i="4"/>
  <c r="S57" i="4"/>
  <c r="T57" i="4"/>
  <c r="R88" i="4"/>
  <c r="S88" i="4"/>
  <c r="T88" i="4"/>
  <c r="S96" i="4"/>
  <c r="T96" i="4"/>
  <c r="R96" i="4"/>
  <c r="T32" i="4"/>
  <c r="S32" i="4"/>
  <c r="R32" i="4"/>
  <c r="R41" i="4"/>
  <c r="S41" i="4"/>
  <c r="T41" i="4"/>
  <c r="R50" i="4"/>
  <c r="T50" i="4"/>
  <c r="S50" i="4"/>
  <c r="R58" i="4"/>
  <c r="T58" i="4"/>
  <c r="S58" i="4"/>
  <c r="R83" i="4"/>
  <c r="S83" i="4"/>
  <c r="T83" i="4"/>
  <c r="R89" i="4"/>
  <c r="T89" i="4"/>
  <c r="S89" i="4"/>
  <c r="T93" i="4"/>
  <c r="S93" i="4"/>
  <c r="R93" i="4"/>
  <c r="T97" i="4"/>
  <c r="S97" i="4"/>
  <c r="R97" i="4"/>
  <c r="S101" i="4"/>
  <c r="R101" i="4"/>
  <c r="T101" i="4"/>
  <c r="R105" i="4"/>
  <c r="S105" i="4"/>
  <c r="T105" i="4"/>
  <c r="R109" i="4"/>
  <c r="S109" i="4"/>
  <c r="T109" i="4"/>
  <c r="T120" i="4"/>
  <c r="S120" i="4"/>
  <c r="R120" i="4"/>
  <c r="T124" i="4"/>
  <c r="S124" i="4"/>
  <c r="R124" i="4"/>
  <c r="S133" i="4"/>
  <c r="T133" i="4"/>
  <c r="R133" i="4"/>
  <c r="S137" i="4"/>
  <c r="R137" i="4"/>
  <c r="T137" i="4"/>
  <c r="R141" i="4"/>
  <c r="S141" i="4"/>
  <c r="T141" i="4"/>
  <c r="R145" i="4"/>
  <c r="T145" i="4"/>
  <c r="S145" i="4"/>
  <c r="T149" i="4"/>
  <c r="R149" i="4"/>
  <c r="S149" i="4"/>
  <c r="R154" i="4"/>
  <c r="T154" i="4"/>
  <c r="S154" i="4"/>
  <c r="S158" i="4"/>
  <c r="R158" i="4"/>
  <c r="T158" i="4"/>
  <c r="S205" i="4"/>
  <c r="T205" i="4"/>
  <c r="R205" i="4"/>
  <c r="S209" i="4"/>
  <c r="T209" i="4"/>
  <c r="S213" i="4"/>
  <c r="T213" i="4"/>
  <c r="R213" i="4"/>
  <c r="T218" i="4"/>
  <c r="S218" i="4"/>
  <c r="R218" i="4"/>
  <c r="S222" i="4"/>
  <c r="T222" i="4"/>
  <c r="R222" i="4"/>
  <c r="R226" i="4"/>
  <c r="S226" i="4"/>
  <c r="T226" i="4"/>
  <c r="R230" i="4"/>
  <c r="T230" i="4"/>
  <c r="S230" i="4"/>
  <c r="T234" i="4"/>
  <c r="S234" i="4"/>
  <c r="R234" i="4"/>
  <c r="R241" i="4"/>
  <c r="S241" i="4"/>
  <c r="T241" i="4"/>
  <c r="T251" i="4"/>
  <c r="R251" i="4"/>
  <c r="S251" i="4"/>
  <c r="R261" i="4"/>
  <c r="T261" i="4"/>
  <c r="S261" i="4"/>
  <c r="R265" i="4"/>
  <c r="S265" i="4"/>
  <c r="T265" i="4"/>
  <c r="T272" i="4"/>
  <c r="S272" i="4"/>
  <c r="R272" i="4"/>
  <c r="S278" i="4"/>
  <c r="R278" i="4"/>
  <c r="T278" i="4"/>
  <c r="R284" i="4"/>
  <c r="T284" i="4"/>
  <c r="S284" i="4"/>
  <c r="R288" i="4"/>
  <c r="T288" i="4"/>
  <c r="S288" i="4"/>
  <c r="R292" i="4"/>
  <c r="S292" i="4"/>
  <c r="T292" i="4"/>
  <c r="R296" i="4"/>
  <c r="S296" i="4"/>
  <c r="T296" i="4"/>
  <c r="R300" i="4"/>
  <c r="T300" i="4"/>
  <c r="S300" i="4"/>
  <c r="R304" i="4"/>
  <c r="T304" i="4"/>
  <c r="S304" i="4"/>
  <c r="R308" i="4"/>
  <c r="S308" i="4"/>
  <c r="T308" i="4"/>
  <c r="R312" i="4"/>
  <c r="S312" i="4"/>
  <c r="T312" i="4"/>
  <c r="S316" i="4"/>
  <c r="T316" i="4"/>
  <c r="R316" i="4"/>
  <c r="R320" i="4"/>
  <c r="S320" i="4"/>
  <c r="T320" i="4"/>
  <c r="R324" i="4"/>
  <c r="S324" i="4"/>
  <c r="T324" i="4"/>
  <c r="R328" i="4"/>
  <c r="T328" i="4"/>
  <c r="S328" i="4"/>
  <c r="S335" i="4"/>
  <c r="T335" i="4"/>
  <c r="R335" i="4"/>
  <c r="T343" i="4"/>
  <c r="R343" i="4"/>
  <c r="S343" i="4"/>
  <c r="R347" i="4"/>
  <c r="T347" i="4"/>
  <c r="S347" i="4"/>
  <c r="T362" i="4"/>
  <c r="S362" i="4"/>
  <c r="R362" i="4"/>
  <c r="R366" i="4"/>
  <c r="S366" i="4"/>
  <c r="T366" i="4"/>
  <c r="R370" i="4"/>
  <c r="T370" i="4"/>
  <c r="S370" i="4"/>
  <c r="T374" i="4"/>
  <c r="S374" i="4"/>
  <c r="R374" i="4"/>
  <c r="S378" i="4"/>
  <c r="T378" i="4"/>
  <c r="R378" i="4"/>
  <c r="R382" i="4"/>
  <c r="S382" i="4"/>
  <c r="T382" i="4"/>
  <c r="R386" i="4"/>
  <c r="T386" i="4"/>
  <c r="S386" i="4"/>
  <c r="T390" i="4"/>
  <c r="S390" i="4"/>
  <c r="R390" i="4"/>
  <c r="S394" i="4"/>
  <c r="T394" i="4"/>
  <c r="R394" i="4"/>
  <c r="R398" i="4"/>
  <c r="S398" i="4"/>
  <c r="T398" i="4"/>
  <c r="S402" i="4"/>
  <c r="R402" i="4"/>
  <c r="T402" i="4"/>
  <c r="S406" i="4"/>
  <c r="R406" i="4"/>
  <c r="T406" i="4"/>
  <c r="S410" i="4"/>
  <c r="R410" i="4"/>
  <c r="T410" i="4"/>
  <c r="S414" i="4"/>
  <c r="T414" i="4"/>
  <c r="R414" i="4"/>
  <c r="S418" i="4"/>
  <c r="T418" i="4"/>
  <c r="R418" i="4"/>
  <c r="R426" i="4"/>
  <c r="T426" i="4"/>
  <c r="S426" i="4"/>
  <c r="S430" i="4"/>
  <c r="T430" i="4"/>
  <c r="R430" i="4"/>
  <c r="S440" i="4"/>
  <c r="R440" i="4"/>
  <c r="T440" i="4"/>
  <c r="S448" i="4"/>
  <c r="T448" i="4"/>
  <c r="R448" i="4"/>
  <c r="S453" i="4"/>
  <c r="T453" i="4"/>
  <c r="R453" i="4"/>
  <c r="S467" i="4"/>
  <c r="T467" i="4"/>
  <c r="R467" i="4"/>
  <c r="S486" i="4"/>
  <c r="T486" i="4"/>
  <c r="R486" i="4"/>
  <c r="S497" i="4"/>
  <c r="R497" i="4"/>
  <c r="T497" i="4"/>
  <c r="S504" i="4"/>
  <c r="T504" i="4"/>
  <c r="R504" i="4"/>
  <c r="S513" i="4"/>
  <c r="R513" i="4"/>
  <c r="T513" i="4"/>
  <c r="T524" i="4"/>
  <c r="R524" i="4"/>
  <c r="S524" i="4"/>
  <c r="S597" i="4"/>
  <c r="R597" i="4"/>
  <c r="S603" i="4"/>
  <c r="T603" i="4"/>
  <c r="R603" i="4"/>
  <c r="S607" i="4"/>
  <c r="T607" i="4"/>
  <c r="R607" i="4"/>
  <c r="S623" i="4"/>
  <c r="R623" i="4"/>
  <c r="T623" i="4"/>
  <c r="S628" i="4"/>
  <c r="T628" i="4"/>
  <c r="R628" i="4"/>
  <c r="S660" i="4"/>
  <c r="T660" i="4"/>
  <c r="R660" i="4"/>
  <c r="S671" i="4"/>
  <c r="T671" i="4"/>
  <c r="R671" i="4"/>
  <c r="T597" i="4"/>
  <c r="R193" i="4"/>
  <c r="R190" i="4"/>
  <c r="R189" i="4"/>
  <c r="R202" i="4"/>
  <c r="T275" i="4"/>
  <c r="R275" i="4"/>
  <c r="S275" i="4"/>
  <c r="S281" i="4"/>
  <c r="T281" i="4"/>
  <c r="R281" i="4"/>
  <c r="S285" i="4"/>
  <c r="R285" i="4"/>
  <c r="T285" i="4"/>
  <c r="S289" i="4"/>
  <c r="R289" i="4"/>
  <c r="T289" i="4"/>
  <c r="S293" i="4"/>
  <c r="T293" i="4"/>
  <c r="R293" i="4"/>
  <c r="S297" i="4"/>
  <c r="T297" i="4"/>
  <c r="R297" i="4"/>
  <c r="S301" i="4"/>
  <c r="R301" i="4"/>
  <c r="T301" i="4"/>
  <c r="S305" i="4"/>
  <c r="R305" i="4"/>
  <c r="T305" i="4"/>
  <c r="S309" i="4"/>
  <c r="T309" i="4"/>
  <c r="R309" i="4"/>
  <c r="S313" i="4"/>
  <c r="T313" i="4"/>
  <c r="R313" i="4"/>
  <c r="R317" i="4"/>
  <c r="T317" i="4"/>
  <c r="S317" i="4"/>
  <c r="S321" i="4"/>
  <c r="T321" i="4"/>
  <c r="R321" i="4"/>
  <c r="R325" i="4"/>
  <c r="S325" i="4"/>
  <c r="T325" i="4"/>
  <c r="S329" i="4"/>
  <c r="R329" i="4"/>
  <c r="T329" i="4"/>
  <c r="R336" i="4"/>
  <c r="T336" i="4"/>
  <c r="S336" i="4"/>
  <c r="T344" i="4"/>
  <c r="S344" i="4"/>
  <c r="R344" i="4"/>
  <c r="R348" i="4"/>
  <c r="S348" i="4"/>
  <c r="T348" i="4"/>
  <c r="T363" i="4"/>
  <c r="S363" i="4"/>
  <c r="R363" i="4"/>
  <c r="R367" i="4"/>
  <c r="T367" i="4"/>
  <c r="S367" i="4"/>
  <c r="R371" i="4"/>
  <c r="S371" i="4"/>
  <c r="T371" i="4"/>
  <c r="R375" i="4"/>
  <c r="S375" i="4"/>
  <c r="T375" i="4"/>
  <c r="R379" i="4"/>
  <c r="T379" i="4"/>
  <c r="S379" i="4"/>
  <c r="R383" i="4"/>
  <c r="T383" i="4"/>
  <c r="S383" i="4"/>
  <c r="R387" i="4"/>
  <c r="S387" i="4"/>
  <c r="T387" i="4"/>
  <c r="R391" i="4"/>
  <c r="S391" i="4"/>
  <c r="T391" i="4"/>
  <c r="R395" i="4"/>
  <c r="T395" i="4"/>
  <c r="S395" i="4"/>
  <c r="S399" i="4"/>
  <c r="T399" i="4"/>
  <c r="R399" i="4"/>
  <c r="T403" i="4"/>
  <c r="S403" i="4"/>
  <c r="R403" i="4"/>
  <c r="T407" i="4"/>
  <c r="S407" i="4"/>
  <c r="R407" i="4"/>
  <c r="T411" i="4"/>
  <c r="S411" i="4"/>
  <c r="R411" i="4"/>
  <c r="T415" i="4"/>
  <c r="R415" i="4"/>
  <c r="S415" i="4"/>
  <c r="T419" i="4"/>
  <c r="R419" i="4"/>
  <c r="S419" i="4"/>
  <c r="S427" i="4"/>
  <c r="R427" i="4"/>
  <c r="T427" i="4"/>
  <c r="T431" i="4"/>
  <c r="R431" i="4"/>
  <c r="S431" i="4"/>
  <c r="T441" i="4"/>
  <c r="R441" i="4"/>
  <c r="S441" i="4"/>
  <c r="R450" i="4"/>
  <c r="T450" i="4"/>
  <c r="S450" i="4"/>
  <c r="R454" i="4"/>
  <c r="T454" i="4"/>
  <c r="S454" i="4"/>
  <c r="R470" i="4"/>
  <c r="S470" i="4"/>
  <c r="T470" i="4"/>
  <c r="T491" i="4"/>
  <c r="R491" i="4"/>
  <c r="S491" i="4"/>
  <c r="T498" i="4"/>
  <c r="R498" i="4"/>
  <c r="S498" i="4"/>
  <c r="R508" i="4"/>
  <c r="T508" i="4"/>
  <c r="S508" i="4"/>
  <c r="T514" i="4"/>
  <c r="R514" i="4"/>
  <c r="S514" i="4"/>
  <c r="S525" i="4"/>
  <c r="R525" i="4"/>
  <c r="T525" i="4"/>
  <c r="R604" i="4"/>
  <c r="T604" i="4"/>
  <c r="S604" i="4"/>
  <c r="R608" i="4"/>
  <c r="T608" i="4"/>
  <c r="S608" i="4"/>
  <c r="R625" i="4"/>
  <c r="T625" i="4"/>
  <c r="S625" i="4"/>
  <c r="T629" i="4"/>
  <c r="R629" i="4"/>
  <c r="S629" i="4"/>
  <c r="T668" i="4"/>
  <c r="R668" i="4"/>
  <c r="S668" i="4"/>
  <c r="T672" i="4"/>
  <c r="R672" i="4"/>
  <c r="S672" i="4"/>
  <c r="T191" i="4"/>
  <c r="R195" i="4"/>
  <c r="T208" i="4"/>
  <c r="T201" i="4"/>
  <c r="R46" i="4"/>
  <c r="R192" i="4"/>
  <c r="T45" i="4"/>
  <c r="R208" i="4"/>
  <c r="T17" i="4"/>
  <c r="S17" i="4"/>
  <c r="R17" i="4"/>
  <c r="R18" i="4"/>
  <c r="S18" i="4"/>
  <c r="T18" i="4"/>
  <c r="T8" i="4"/>
  <c r="S8" i="4"/>
  <c r="R8" i="4"/>
  <c r="T20" i="4"/>
  <c r="R20" i="4"/>
  <c r="S20" i="4"/>
  <c r="T22" i="4"/>
  <c r="S22" i="4"/>
  <c r="R22" i="4"/>
  <c r="S19" i="4"/>
  <c r="T19" i="4"/>
  <c r="R19" i="4"/>
  <c r="J86" i="4"/>
  <c r="S86" i="4" l="1"/>
  <c r="R86" i="4"/>
  <c r="T86" i="4"/>
  <c r="T87" i="4"/>
  <c r="R87" i="4"/>
  <c r="S87" i="4"/>
  <c r="AA3" i="3"/>
  <c r="AA4" i="3" s="1"/>
  <c r="AA5" i="3" s="1"/>
  <c r="AA6" i="3" s="1"/>
  <c r="AA7" i="3" s="1"/>
  <c r="AA8" i="3" s="1"/>
  <c r="AA9" i="3" s="1"/>
  <c r="AA10" i="3" s="1"/>
  <c r="AA11" i="3" s="1"/>
  <c r="AA12" i="3" s="1"/>
  <c r="AA13" i="3" s="1"/>
  <c r="AA14" i="3" s="1"/>
  <c r="AA15" i="3" s="1"/>
  <c r="AA16" i="3" s="1"/>
  <c r="AA17" i="3" s="1"/>
  <c r="AA18" i="3" s="1"/>
  <c r="AA19" i="3" s="1"/>
  <c r="AA20" i="3" s="1"/>
  <c r="AA21" i="3" s="1"/>
  <c r="AA22" i="3" s="1"/>
  <c r="AA23" i="3" s="1"/>
  <c r="AA24" i="3" s="1"/>
  <c r="AA25" i="3" s="1"/>
  <c r="AA26" i="3" s="1"/>
  <c r="AA27" i="3" s="1"/>
  <c r="AA28" i="3" s="1"/>
  <c r="AA29" i="3" s="1"/>
  <c r="AA30" i="3" s="1"/>
  <c r="AA31" i="3" s="1"/>
  <c r="AA32" i="3" s="1"/>
  <c r="AA33" i="3" s="1"/>
  <c r="AA34" i="3" s="1"/>
  <c r="AA35" i="3" s="1"/>
  <c r="AA36" i="3" s="1"/>
  <c r="AA37" i="3" s="1"/>
  <c r="AA38" i="3" s="1"/>
  <c r="AA39" i="3" s="1"/>
  <c r="AA40" i="3" s="1"/>
  <c r="AA41" i="3" s="1"/>
  <c r="AA42" i="3" s="1"/>
  <c r="AA43" i="3" s="1"/>
  <c r="AA44" i="3" s="1"/>
  <c r="AA45" i="3" s="1"/>
  <c r="AA46" i="3" s="1"/>
  <c r="AA47" i="3" s="1"/>
  <c r="AA48" i="3" s="1"/>
  <c r="AA49" i="3" s="1"/>
  <c r="AA50" i="3" s="1"/>
  <c r="AA51" i="3" s="1"/>
  <c r="AA52" i="3" s="1"/>
  <c r="AA53" i="3" s="1"/>
  <c r="AA54" i="3" s="1"/>
  <c r="AA55" i="3" s="1"/>
  <c r="AA56" i="3" s="1"/>
  <c r="AA57" i="3" s="1"/>
  <c r="AA58" i="3" s="1"/>
  <c r="AA59" i="3" s="1"/>
  <c r="AA60" i="3" s="1"/>
  <c r="AA61" i="3" s="1"/>
  <c r="AA62" i="3" s="1"/>
  <c r="AA63" i="3" s="1"/>
  <c r="AA64" i="3" s="1"/>
  <c r="AA65" i="3" s="1"/>
  <c r="AA66" i="3" s="1"/>
  <c r="AA67" i="3" s="1"/>
  <c r="AA68" i="3" s="1"/>
  <c r="AA69" i="3" s="1"/>
  <c r="AA70" i="3" s="1"/>
  <c r="AA71" i="3" s="1"/>
  <c r="AA72" i="3" s="1"/>
  <c r="AA73" i="3" s="1"/>
  <c r="AA74" i="3" s="1"/>
  <c r="AA75" i="3" s="1"/>
  <c r="AA76" i="3" s="1"/>
  <c r="AA77" i="3" s="1"/>
  <c r="AA78" i="3" s="1"/>
  <c r="AA79" i="3" s="1"/>
  <c r="AA80" i="3" s="1"/>
  <c r="AA81" i="3" s="1"/>
  <c r="AA82" i="3" s="1"/>
  <c r="AA83" i="3" s="1"/>
  <c r="AA84" i="3" s="1"/>
  <c r="AA85" i="3" s="1"/>
  <c r="AA86" i="3" s="1"/>
  <c r="AA87" i="3" s="1"/>
  <c r="AA88" i="3" s="1"/>
  <c r="AA89" i="3" s="1"/>
  <c r="AA90" i="3" s="1"/>
  <c r="AA91" i="3" s="1"/>
  <c r="AA92" i="3" s="1"/>
  <c r="AA93" i="3" s="1"/>
  <c r="AA94" i="3" s="1"/>
  <c r="AA95" i="3" s="1"/>
  <c r="AA96" i="3" s="1"/>
  <c r="AA97" i="3" s="1"/>
  <c r="AA98" i="3" s="1"/>
  <c r="AA99" i="3" s="1"/>
  <c r="AA100" i="3" s="1"/>
  <c r="AA101" i="3" s="1"/>
  <c r="AA102" i="3" s="1"/>
  <c r="AA103" i="3" s="1"/>
  <c r="AA104" i="3" s="1"/>
  <c r="AA105" i="3" s="1"/>
  <c r="AA106" i="3" s="1"/>
  <c r="AA107" i="3" s="1"/>
  <c r="AA108" i="3" s="1"/>
  <c r="AA109" i="3" s="1"/>
  <c r="AA110" i="3" s="1"/>
  <c r="AA111" i="3" s="1"/>
  <c r="AA112" i="3" s="1"/>
  <c r="AA113" i="3" s="1"/>
  <c r="AA114" i="3" s="1"/>
  <c r="AA115" i="3" s="1"/>
  <c r="AA116" i="3" s="1"/>
  <c r="AA117" i="3" s="1"/>
  <c r="AA118" i="3" s="1"/>
  <c r="AA119" i="3" s="1"/>
  <c r="AA120" i="3" s="1"/>
  <c r="AA121" i="3" s="1"/>
  <c r="AA122" i="3" s="1"/>
  <c r="AA123" i="3" s="1"/>
  <c r="AA124" i="3" s="1"/>
  <c r="AA125" i="3" s="1"/>
  <c r="AA126" i="3" s="1"/>
  <c r="AA127" i="3" s="1"/>
  <c r="AA128" i="3" s="1"/>
  <c r="AA129" i="3" s="1"/>
  <c r="AA130" i="3" s="1"/>
  <c r="AA131" i="3" s="1"/>
  <c r="AA132" i="3" s="1"/>
  <c r="AA133" i="3" s="1"/>
  <c r="AA134" i="3" s="1"/>
  <c r="AA135" i="3" s="1"/>
  <c r="AA136" i="3" s="1"/>
  <c r="AA137" i="3" s="1"/>
  <c r="AA138" i="3" s="1"/>
  <c r="AA139" i="3" s="1"/>
  <c r="AA140" i="3" s="1"/>
  <c r="AA141" i="3" s="1"/>
  <c r="AA142" i="3" s="1"/>
  <c r="AA143" i="3" s="1"/>
  <c r="AA144" i="3" s="1"/>
  <c r="AA145" i="3" s="1"/>
  <c r="AA146" i="3" s="1"/>
  <c r="AA147" i="3" s="1"/>
  <c r="AA148" i="3" s="1"/>
  <c r="AA149" i="3" s="1"/>
  <c r="AA150" i="3" s="1"/>
  <c r="AA151" i="3" s="1"/>
  <c r="AA152" i="3" s="1"/>
  <c r="AA153" i="3" s="1"/>
  <c r="AA154" i="3" s="1"/>
  <c r="AA155" i="3" s="1"/>
  <c r="AA156" i="3" s="1"/>
  <c r="AA157" i="3" s="1"/>
  <c r="AA158" i="3" s="1"/>
  <c r="AA159" i="3" s="1"/>
  <c r="AA160" i="3" s="1"/>
  <c r="AA161" i="3" s="1"/>
  <c r="AA162" i="3" s="1"/>
  <c r="AA163" i="3" s="1"/>
  <c r="AA164" i="3" s="1"/>
  <c r="AA165" i="3" s="1"/>
  <c r="AA166" i="3" s="1"/>
  <c r="AA167" i="3" s="1"/>
  <c r="AA168" i="3" s="1"/>
  <c r="AA169" i="3" s="1"/>
  <c r="AA170" i="3" s="1"/>
  <c r="AA171" i="3" s="1"/>
  <c r="AA172" i="3" s="1"/>
  <c r="AA173" i="3" s="1"/>
  <c r="AA174" i="3" s="1"/>
  <c r="AA175" i="3" s="1"/>
  <c r="AA176" i="3" s="1"/>
  <c r="AA177" i="3" s="1"/>
  <c r="AA178" i="3" s="1"/>
  <c r="AA179" i="3" s="1"/>
  <c r="AA180" i="3" s="1"/>
  <c r="AA181" i="3" s="1"/>
  <c r="AA182" i="3" s="1"/>
  <c r="AA183" i="3" s="1"/>
  <c r="AA184" i="3" s="1"/>
  <c r="AA185" i="3" s="1"/>
  <c r="AA186" i="3" s="1"/>
  <c r="AA187" i="3" s="1"/>
  <c r="AA188" i="3" s="1"/>
  <c r="AA189" i="3" s="1"/>
  <c r="AA190" i="3" s="1"/>
  <c r="AA191" i="3" s="1"/>
  <c r="AA192" i="3" s="1"/>
  <c r="AA193" i="3" s="1"/>
  <c r="AA194" i="3" s="1"/>
  <c r="AA195" i="3" s="1"/>
  <c r="AA196" i="3" s="1"/>
  <c r="AA197" i="3" s="1"/>
  <c r="AA198" i="3" s="1"/>
  <c r="AA199" i="3" s="1"/>
  <c r="AA200" i="3" s="1"/>
  <c r="AA201" i="3" s="1"/>
  <c r="AA202" i="3" s="1"/>
  <c r="AA203" i="3" s="1"/>
  <c r="AA204" i="3" s="1"/>
  <c r="AA205" i="3" s="1"/>
  <c r="AA206" i="3" s="1"/>
  <c r="AA207" i="3" s="1"/>
  <c r="AA208" i="3" s="1"/>
  <c r="AA209" i="3" s="1"/>
  <c r="AA210" i="3" s="1"/>
  <c r="AA211" i="3" s="1"/>
  <c r="AA212" i="3" s="1"/>
  <c r="AA213" i="3" s="1"/>
  <c r="AA214" i="3" s="1"/>
  <c r="AA215" i="3" s="1"/>
  <c r="AA216" i="3" s="1"/>
  <c r="AA217" i="3" s="1"/>
  <c r="AA218" i="3" s="1"/>
  <c r="AA219" i="3" s="1"/>
  <c r="AA220" i="3" s="1"/>
  <c r="AA221" i="3" s="1"/>
  <c r="AA222" i="3" s="1"/>
  <c r="AA223" i="3" s="1"/>
  <c r="AA224" i="3" s="1"/>
  <c r="AA225" i="3" s="1"/>
  <c r="AA226" i="3" s="1"/>
  <c r="AA227" i="3" s="1"/>
  <c r="AA228" i="3" s="1"/>
  <c r="AA229" i="3" s="1"/>
  <c r="AA230" i="3" s="1"/>
  <c r="AA231" i="3" s="1"/>
  <c r="AA232" i="3" s="1"/>
  <c r="AA233" i="3" s="1"/>
  <c r="AA234" i="3" s="1"/>
  <c r="AA235" i="3" s="1"/>
  <c r="AA236" i="3" s="1"/>
  <c r="AA237" i="3" s="1"/>
  <c r="AA238" i="3" s="1"/>
  <c r="AA239" i="3" s="1"/>
  <c r="AA240" i="3" s="1"/>
  <c r="AA241" i="3" s="1"/>
  <c r="AA242" i="3" s="1"/>
  <c r="AA243" i="3" s="1"/>
  <c r="AA244" i="3" s="1"/>
  <c r="AA245" i="3" s="1"/>
  <c r="AA246" i="3" s="1"/>
  <c r="AA247" i="3" s="1"/>
  <c r="AA248" i="3" s="1"/>
  <c r="AA249" i="3" s="1"/>
  <c r="AA250" i="3" s="1"/>
  <c r="AA251" i="3" s="1"/>
  <c r="AA252" i="3" s="1"/>
  <c r="AA253" i="3" s="1"/>
  <c r="AA254" i="3" s="1"/>
  <c r="AA255" i="3" s="1"/>
  <c r="AA256" i="3" s="1"/>
  <c r="AA257" i="3" s="1"/>
  <c r="AA258" i="3" s="1"/>
  <c r="AA259" i="3" s="1"/>
  <c r="AA260" i="3" s="1"/>
  <c r="AA261" i="3" s="1"/>
  <c r="AA262" i="3" s="1"/>
  <c r="AA263" i="3" s="1"/>
  <c r="AA264" i="3" s="1"/>
  <c r="AA265" i="3" s="1"/>
  <c r="AA266" i="3" s="1"/>
  <c r="AA267" i="3" s="1"/>
  <c r="AA268" i="3" s="1"/>
  <c r="AA269" i="3" s="1"/>
  <c r="AA270" i="3" s="1"/>
  <c r="AA271" i="3" s="1"/>
  <c r="AA272" i="3" s="1"/>
  <c r="AA273" i="3" s="1"/>
  <c r="AA274" i="3" s="1"/>
  <c r="AA275" i="3" s="1"/>
  <c r="AA276" i="3" s="1"/>
  <c r="AA277" i="3" s="1"/>
  <c r="AA278" i="3" s="1"/>
  <c r="AA279" i="3" s="1"/>
  <c r="AA280" i="3" s="1"/>
  <c r="AA281" i="3" s="1"/>
  <c r="AA282" i="3" s="1"/>
  <c r="AA283" i="3" s="1"/>
  <c r="AA284" i="3" s="1"/>
  <c r="AA285" i="3" s="1"/>
  <c r="AA286" i="3" s="1"/>
  <c r="AA287" i="3" s="1"/>
  <c r="AA288" i="3" s="1"/>
  <c r="AA289" i="3" s="1"/>
  <c r="AA290" i="3" s="1"/>
  <c r="AA291" i="3" s="1"/>
  <c r="AA292" i="3" s="1"/>
  <c r="AA293" i="3" s="1"/>
  <c r="AA294" i="3" s="1"/>
  <c r="AA295" i="3" s="1"/>
  <c r="AA296" i="3" s="1"/>
  <c r="AA297" i="3" s="1"/>
  <c r="AA298" i="3" s="1"/>
  <c r="AA299" i="3" s="1"/>
  <c r="AA300" i="3" s="1"/>
  <c r="AA301" i="3" s="1"/>
  <c r="AA302" i="3" s="1"/>
  <c r="AA303" i="3" s="1"/>
  <c r="AA304" i="3" s="1"/>
  <c r="AA305" i="3" s="1"/>
  <c r="AA306" i="3" s="1"/>
  <c r="AA307" i="3" s="1"/>
  <c r="AA308" i="3" s="1"/>
  <c r="AA309" i="3" s="1"/>
  <c r="AA310" i="3" s="1"/>
  <c r="AA311" i="3" s="1"/>
  <c r="AA312" i="3" s="1"/>
  <c r="AA313" i="3" s="1"/>
  <c r="AA314" i="3" s="1"/>
  <c r="AA315" i="3" s="1"/>
  <c r="AA316" i="3" s="1"/>
  <c r="AA317" i="3" s="1"/>
  <c r="AA318" i="3" s="1"/>
  <c r="AA319" i="3" s="1"/>
  <c r="AA320" i="3" s="1"/>
  <c r="AA321" i="3" s="1"/>
  <c r="AA322" i="3" s="1"/>
  <c r="AA323" i="3" s="1"/>
  <c r="AA324" i="3" s="1"/>
  <c r="AA325" i="3" s="1"/>
  <c r="AA326" i="3" s="1"/>
  <c r="AA327" i="3" s="1"/>
  <c r="AA328" i="3" s="1"/>
  <c r="AA329" i="3" s="1"/>
  <c r="AA330" i="3" s="1"/>
  <c r="AA331" i="3" s="1"/>
  <c r="AA332" i="3" s="1"/>
  <c r="AA333" i="3" s="1"/>
  <c r="AA334" i="3" s="1"/>
  <c r="AA335" i="3" s="1"/>
  <c r="AA336" i="3" s="1"/>
  <c r="AA337" i="3" s="1"/>
  <c r="AA338" i="3" s="1"/>
  <c r="AA339" i="3" s="1"/>
  <c r="AA340" i="3" s="1"/>
  <c r="AA341" i="3" s="1"/>
  <c r="AA342" i="3" s="1"/>
  <c r="AA343" i="3" s="1"/>
  <c r="AA344" i="3" s="1"/>
  <c r="AA345" i="3" s="1"/>
  <c r="AA346" i="3" s="1"/>
  <c r="AA347" i="3" s="1"/>
  <c r="AA348" i="3" s="1"/>
  <c r="AA349" i="3" s="1"/>
  <c r="AA350" i="3" s="1"/>
  <c r="AA351" i="3" s="1"/>
  <c r="AA352" i="3" s="1"/>
  <c r="AA353" i="3" s="1"/>
  <c r="AA354" i="3" s="1"/>
  <c r="AA355" i="3" s="1"/>
  <c r="AA356" i="3" s="1"/>
  <c r="AA357" i="3" s="1"/>
  <c r="AA358" i="3" s="1"/>
  <c r="AA359" i="3" s="1"/>
  <c r="AA360" i="3" s="1"/>
  <c r="AA361" i="3" s="1"/>
  <c r="AA362" i="3" s="1"/>
  <c r="AA363" i="3" s="1"/>
  <c r="AA364" i="3" s="1"/>
  <c r="AA365" i="3" s="1"/>
  <c r="AA366" i="3" s="1"/>
  <c r="AA367" i="3" s="1"/>
  <c r="AA368" i="3" s="1"/>
  <c r="AA369" i="3" s="1"/>
  <c r="AA370" i="3" s="1"/>
  <c r="AA371" i="3" s="1"/>
  <c r="AA372" i="3" s="1"/>
  <c r="AA373" i="3" s="1"/>
  <c r="AA374" i="3" s="1"/>
  <c r="AA375" i="3" s="1"/>
  <c r="AA376" i="3" s="1"/>
  <c r="AA377" i="3" s="1"/>
  <c r="AA378" i="3" s="1"/>
  <c r="AA379" i="3" s="1"/>
  <c r="AA380" i="3" s="1"/>
  <c r="AA381" i="3" s="1"/>
  <c r="AA382" i="3" s="1"/>
  <c r="AA383" i="3" s="1"/>
  <c r="AA384" i="3" s="1"/>
  <c r="AA385" i="3" s="1"/>
  <c r="AA386" i="3" s="1"/>
  <c r="AA387" i="3" s="1"/>
  <c r="AA388" i="3" s="1"/>
  <c r="AA389" i="3" s="1"/>
  <c r="AA390" i="3" s="1"/>
  <c r="AA391" i="3" s="1"/>
  <c r="AA392" i="3" s="1"/>
  <c r="AA393" i="3" s="1"/>
  <c r="AA394" i="3" s="1"/>
  <c r="AA395" i="3" s="1"/>
  <c r="AA396" i="3" s="1"/>
  <c r="AA397" i="3" s="1"/>
  <c r="AA398" i="3" s="1"/>
  <c r="AA399" i="3" s="1"/>
  <c r="AA400" i="3" s="1"/>
  <c r="AA401" i="3" s="1"/>
  <c r="AA402" i="3" s="1"/>
  <c r="AA403" i="3" s="1"/>
  <c r="AA404" i="3" s="1"/>
  <c r="AA405" i="3" s="1"/>
  <c r="AA406" i="3" s="1"/>
  <c r="AA407" i="3" s="1"/>
  <c r="AA408" i="3" s="1"/>
  <c r="AA409" i="3" s="1"/>
  <c r="AA410" i="3" s="1"/>
  <c r="AA411" i="3" s="1"/>
  <c r="AA412" i="3" s="1"/>
  <c r="AA413" i="3" s="1"/>
  <c r="AA414" i="3" s="1"/>
  <c r="AA415" i="3" s="1"/>
  <c r="AA416" i="3" s="1"/>
  <c r="AA417" i="3" s="1"/>
  <c r="AA418" i="3" s="1"/>
  <c r="AA419" i="3" s="1"/>
  <c r="AA420" i="3" s="1"/>
  <c r="AA421" i="3" s="1"/>
  <c r="AA422" i="3" s="1"/>
  <c r="AA423" i="3" s="1"/>
  <c r="AA424" i="3" s="1"/>
  <c r="AA425" i="3" s="1"/>
  <c r="AA426" i="3" s="1"/>
  <c r="AA427" i="3" s="1"/>
  <c r="AA428" i="3" s="1"/>
  <c r="AA429" i="3" s="1"/>
  <c r="AA430" i="3" s="1"/>
  <c r="AA431" i="3" s="1"/>
  <c r="AA432" i="3" s="1"/>
  <c r="AA433" i="3" s="1"/>
  <c r="AA434" i="3" s="1"/>
  <c r="AA435" i="3" s="1"/>
  <c r="AA436" i="3" s="1"/>
  <c r="AA437" i="3" s="1"/>
  <c r="AA438" i="3" s="1"/>
  <c r="AA439" i="3" s="1"/>
  <c r="AA440" i="3" s="1"/>
  <c r="AA441" i="3" s="1"/>
  <c r="AA442" i="3" s="1"/>
  <c r="AA443" i="3" s="1"/>
  <c r="AA444" i="3" s="1"/>
  <c r="AA445" i="3" s="1"/>
  <c r="AA446" i="3" s="1"/>
  <c r="AA447" i="3" s="1"/>
  <c r="AA448" i="3" s="1"/>
  <c r="AA449" i="3" s="1"/>
  <c r="AA450" i="3" s="1"/>
  <c r="AA451" i="3" s="1"/>
  <c r="AA452" i="3" s="1"/>
  <c r="AA453" i="3" s="1"/>
  <c r="AA454" i="3" s="1"/>
  <c r="AA455" i="3" s="1"/>
  <c r="AA456" i="3" s="1"/>
  <c r="AA457" i="3" s="1"/>
  <c r="AA458" i="3" s="1"/>
  <c r="AA459" i="3" s="1"/>
  <c r="AA460" i="3" s="1"/>
  <c r="AA461" i="3" s="1"/>
  <c r="AA462" i="3" s="1"/>
  <c r="AA463" i="3" s="1"/>
  <c r="AA464" i="3" s="1"/>
  <c r="AA465" i="3" s="1"/>
  <c r="AA466" i="3" s="1"/>
  <c r="AA467" i="3" s="1"/>
  <c r="AA468" i="3" s="1"/>
  <c r="AA469" i="3" s="1"/>
  <c r="AA470" i="3" s="1"/>
  <c r="AA471" i="3" s="1"/>
  <c r="AA472" i="3" s="1"/>
  <c r="AA473" i="3" s="1"/>
  <c r="AA474" i="3" s="1"/>
  <c r="AA475" i="3" s="1"/>
  <c r="AA476" i="3" s="1"/>
  <c r="AA477" i="3" s="1"/>
  <c r="AA478" i="3" s="1"/>
  <c r="AA479" i="3" s="1"/>
  <c r="AA480" i="3" s="1"/>
  <c r="AA481" i="3" s="1"/>
  <c r="AA482" i="3" s="1"/>
  <c r="AA483" i="3" s="1"/>
  <c r="AA484" i="3" s="1"/>
  <c r="AA485" i="3" s="1"/>
  <c r="AA486" i="3" s="1"/>
  <c r="AA487" i="3" s="1"/>
  <c r="AA488" i="3" s="1"/>
  <c r="AA489" i="3" s="1"/>
  <c r="AA490" i="3" s="1"/>
  <c r="AA491" i="3" s="1"/>
  <c r="AA492" i="3" s="1"/>
  <c r="AA493" i="3" s="1"/>
  <c r="AA494" i="3" s="1"/>
  <c r="AA495" i="3" s="1"/>
  <c r="AA496" i="3" s="1"/>
  <c r="AA497" i="3" s="1"/>
  <c r="AA498" i="3" s="1"/>
  <c r="AA499" i="3" s="1"/>
  <c r="AA500" i="3" s="1"/>
  <c r="AA501" i="3" s="1"/>
  <c r="AA502" i="3" s="1"/>
  <c r="AA503" i="3" s="1"/>
  <c r="AA504" i="3" s="1"/>
  <c r="AA505" i="3" s="1"/>
  <c r="AA506" i="3" s="1"/>
  <c r="AA507" i="3" s="1"/>
  <c r="AA508" i="3" s="1"/>
  <c r="AA509" i="3" s="1"/>
  <c r="AA510" i="3" s="1"/>
  <c r="AA511" i="3" s="1"/>
  <c r="AA512" i="3" s="1"/>
  <c r="AA513" i="3" s="1"/>
  <c r="AA514" i="3" s="1"/>
  <c r="AA515" i="3" s="1"/>
  <c r="AA516" i="3" s="1"/>
  <c r="AA517" i="3" s="1"/>
  <c r="AA518" i="3" s="1"/>
  <c r="AA519" i="3" s="1"/>
  <c r="AA520" i="3" s="1"/>
  <c r="AA521" i="3" s="1"/>
  <c r="AA522" i="3" s="1"/>
  <c r="AA523" i="3" s="1"/>
  <c r="AA524" i="3" s="1"/>
  <c r="AA525" i="3" s="1"/>
  <c r="AA526" i="3" s="1"/>
  <c r="AA527" i="3" s="1"/>
  <c r="AA528" i="3" s="1"/>
  <c r="AA529" i="3" s="1"/>
  <c r="AA530" i="3" s="1"/>
  <c r="AA531" i="3" s="1"/>
  <c r="AA532" i="3" s="1"/>
  <c r="AA533" i="3" s="1"/>
  <c r="AA534" i="3" s="1"/>
  <c r="AA535" i="3" s="1"/>
  <c r="AA536" i="3" s="1"/>
  <c r="AA537" i="3" s="1"/>
  <c r="AA538" i="3" s="1"/>
  <c r="AA539" i="3" s="1"/>
  <c r="AA540" i="3" s="1"/>
  <c r="AA541" i="3" s="1"/>
  <c r="AA542" i="3" s="1"/>
  <c r="AA543" i="3" s="1"/>
  <c r="AA544" i="3" s="1"/>
  <c r="AA545" i="3" s="1"/>
  <c r="AA546" i="3" s="1"/>
  <c r="AA547" i="3" s="1"/>
  <c r="AA548" i="3" s="1"/>
  <c r="AA549" i="3" s="1"/>
  <c r="AA550" i="3" s="1"/>
  <c r="AA551" i="3" s="1"/>
  <c r="AA552" i="3" s="1"/>
  <c r="AA553" i="3" s="1"/>
  <c r="AA554" i="3" s="1"/>
  <c r="AA555" i="3" s="1"/>
  <c r="AA556" i="3" s="1"/>
  <c r="AA557" i="3" s="1"/>
  <c r="AA558" i="3" s="1"/>
  <c r="AA559" i="3" s="1"/>
  <c r="AA560" i="3" s="1"/>
  <c r="AA561" i="3" s="1"/>
  <c r="AA562" i="3" s="1"/>
  <c r="AA563" i="3" s="1"/>
  <c r="AA564" i="3" s="1"/>
  <c r="AA565" i="3" s="1"/>
  <c r="AA566" i="3" s="1"/>
  <c r="AA567" i="3" s="1"/>
  <c r="AA568" i="3" s="1"/>
  <c r="AA569" i="3" s="1"/>
  <c r="AA570" i="3" s="1"/>
  <c r="AA571" i="3" s="1"/>
  <c r="AA572" i="3" s="1"/>
  <c r="AA573" i="3" s="1"/>
  <c r="AA574" i="3" s="1"/>
  <c r="AA575" i="3" s="1"/>
  <c r="AA576" i="3" s="1"/>
  <c r="AA577" i="3" s="1"/>
  <c r="AA578" i="3" s="1"/>
  <c r="AA579" i="3" s="1"/>
  <c r="AA580" i="3" s="1"/>
  <c r="AA581" i="3" s="1"/>
  <c r="AA582" i="3" s="1"/>
  <c r="AA583" i="3" s="1"/>
  <c r="AA584" i="3" s="1"/>
  <c r="AA585" i="3" s="1"/>
  <c r="AA586" i="3" s="1"/>
  <c r="AA587" i="3" s="1"/>
  <c r="AA588" i="3" s="1"/>
  <c r="AA589" i="3" s="1"/>
  <c r="AA590" i="3" s="1"/>
  <c r="AA591" i="3" s="1"/>
  <c r="AA592" i="3" s="1"/>
  <c r="AA593" i="3" s="1"/>
  <c r="AA594" i="3" s="1"/>
  <c r="AA595" i="3" s="1"/>
  <c r="AA596" i="3" s="1"/>
  <c r="AA597" i="3" s="1"/>
  <c r="AA598" i="3" s="1"/>
  <c r="AA599" i="3" s="1"/>
  <c r="AA600" i="3" s="1"/>
  <c r="AA601" i="3" s="1"/>
  <c r="AA602" i="3" s="1"/>
  <c r="AA603" i="3" s="1"/>
  <c r="AA604" i="3" s="1"/>
  <c r="AA605" i="3" s="1"/>
  <c r="AA606" i="3" s="1"/>
  <c r="AA607" i="3" s="1"/>
  <c r="AA608" i="3" s="1"/>
  <c r="AA609" i="3" s="1"/>
  <c r="AA610" i="3" s="1"/>
  <c r="AA611" i="3" s="1"/>
  <c r="AA612" i="3" s="1"/>
  <c r="AA613" i="3" s="1"/>
  <c r="AA614" i="3" s="1"/>
  <c r="AA615" i="3" s="1"/>
  <c r="AA616" i="3" s="1"/>
  <c r="AA617" i="3" s="1"/>
  <c r="AA618" i="3" s="1"/>
  <c r="AA619" i="3" s="1"/>
  <c r="AA620" i="3" s="1"/>
  <c r="AA621" i="3" s="1"/>
  <c r="AA622" i="3" s="1"/>
  <c r="AA623" i="3" s="1"/>
  <c r="AA624" i="3" s="1"/>
  <c r="AA625" i="3" s="1"/>
  <c r="AA626" i="3" s="1"/>
  <c r="AA627" i="3" s="1"/>
  <c r="AA628" i="3" s="1"/>
  <c r="AA629" i="3" s="1"/>
  <c r="AA630" i="3" s="1"/>
  <c r="AA631" i="3" s="1"/>
  <c r="AA632" i="3" s="1"/>
  <c r="AA633" i="3" s="1"/>
  <c r="AA634" i="3" s="1"/>
  <c r="AA635" i="3" s="1"/>
  <c r="AA636" i="3" s="1"/>
  <c r="AA637" i="3" s="1"/>
  <c r="AA638" i="3" s="1"/>
  <c r="AA639" i="3" s="1"/>
  <c r="AA640" i="3" s="1"/>
  <c r="AA641" i="3" s="1"/>
  <c r="AA642" i="3" s="1"/>
  <c r="AA643" i="3" s="1"/>
  <c r="AA644" i="3" s="1"/>
  <c r="AA645" i="3" s="1"/>
  <c r="AA646" i="3" s="1"/>
  <c r="AA647" i="3" s="1"/>
  <c r="AA648" i="3" s="1"/>
  <c r="AA649" i="3" s="1"/>
  <c r="AA650" i="3" s="1"/>
  <c r="AA651" i="3" s="1"/>
  <c r="AA652" i="3" s="1"/>
  <c r="AA653" i="3" s="1"/>
  <c r="AA654" i="3" s="1"/>
  <c r="AA655" i="3" s="1"/>
  <c r="AA656" i="3" s="1"/>
  <c r="AA657" i="3" s="1"/>
  <c r="AA658" i="3" s="1"/>
  <c r="AA659" i="3" s="1"/>
  <c r="AA660" i="3" s="1"/>
  <c r="AA661" i="3" s="1"/>
  <c r="AA662" i="3" s="1"/>
  <c r="AA663" i="3" s="1"/>
  <c r="AA664" i="3" s="1"/>
  <c r="AA665" i="3" s="1"/>
  <c r="AA666" i="3" s="1"/>
  <c r="AA667" i="3" s="1"/>
  <c r="AA668" i="3" s="1"/>
  <c r="AA669" i="3" s="1"/>
  <c r="AA670" i="3" s="1"/>
  <c r="AA671" i="3" s="1"/>
  <c r="AA672" i="3" s="1"/>
  <c r="AA673" i="3" s="1"/>
  <c r="AA674" i="3" s="1"/>
  <c r="AA675" i="3" s="1"/>
  <c r="AA676" i="3" s="1"/>
  <c r="AA677" i="3" s="1"/>
  <c r="AA678" i="3" s="1"/>
  <c r="AA679" i="3" s="1"/>
  <c r="AA680" i="3" s="1"/>
  <c r="AA681" i="3" s="1"/>
  <c r="AA682" i="3" s="1"/>
  <c r="AA683" i="3" s="1"/>
  <c r="AA684" i="3" s="1"/>
  <c r="AA685" i="3" s="1"/>
  <c r="AA686" i="3" s="1"/>
  <c r="AA687" i="3" s="1"/>
  <c r="AA688" i="3" s="1"/>
  <c r="AA689" i="3" s="1"/>
  <c r="AA690" i="3" s="1"/>
  <c r="AA691" i="3" s="1"/>
  <c r="AA692" i="3" s="1"/>
  <c r="AA693" i="3" s="1"/>
  <c r="AA694" i="3" s="1"/>
  <c r="AA695" i="3" s="1"/>
  <c r="AA696" i="3" s="1"/>
  <c r="AA697" i="3" s="1"/>
  <c r="AA698" i="3" s="1"/>
  <c r="AA699" i="3" s="1"/>
  <c r="AA700" i="3" s="1"/>
  <c r="AA701" i="3" s="1"/>
  <c r="AA702" i="3" s="1"/>
  <c r="AA703" i="3" s="1"/>
  <c r="AA704" i="3" s="1"/>
  <c r="AA705" i="3" s="1"/>
  <c r="AA706" i="3" s="1"/>
  <c r="AA707" i="3" s="1"/>
  <c r="AA708" i="3" s="1"/>
  <c r="AA709" i="3" s="1"/>
  <c r="AA710" i="3" s="1"/>
  <c r="AA711" i="3" s="1"/>
  <c r="AA712" i="3" s="1"/>
  <c r="AA713" i="3" s="1"/>
  <c r="AA714" i="3" s="1"/>
  <c r="AA715" i="3" s="1"/>
  <c r="AA716" i="3" s="1"/>
  <c r="AA717" i="3" s="1"/>
  <c r="AA718" i="3" s="1"/>
  <c r="AA719" i="3" s="1"/>
  <c r="AA720" i="3" s="1"/>
  <c r="AA721" i="3" s="1"/>
  <c r="AA722" i="3" s="1"/>
  <c r="AA723" i="3" s="1"/>
  <c r="AA724" i="3" s="1"/>
  <c r="AA725" i="3" s="1"/>
  <c r="AA726" i="3" s="1"/>
  <c r="AA727" i="3" s="1"/>
  <c r="AA728" i="3" s="1"/>
  <c r="AA729" i="3" s="1"/>
  <c r="AA730" i="3" s="1"/>
  <c r="AA731" i="3" s="1"/>
  <c r="AA732" i="3" s="1"/>
  <c r="AA733" i="3" s="1"/>
  <c r="AA734" i="3" s="1"/>
  <c r="AA735" i="3" s="1"/>
  <c r="AA736" i="3" s="1"/>
  <c r="AA737" i="3" s="1"/>
  <c r="AA738" i="3" s="1"/>
  <c r="AA739" i="3" s="1"/>
  <c r="AA740" i="3" s="1"/>
  <c r="AA741" i="3" s="1"/>
  <c r="AA742" i="3" s="1"/>
  <c r="AA743" i="3" s="1"/>
  <c r="AA744" i="3" s="1"/>
  <c r="AA745" i="3" s="1"/>
  <c r="AA746" i="3" s="1"/>
  <c r="AA747" i="3" s="1"/>
  <c r="AA748" i="3" s="1"/>
  <c r="AA749" i="3" s="1"/>
  <c r="AA750" i="3" s="1"/>
  <c r="AA751" i="3" s="1"/>
  <c r="AA752" i="3" s="1"/>
  <c r="AA753" i="3" s="1"/>
  <c r="AA754" i="3" s="1"/>
  <c r="AA755" i="3" s="1"/>
  <c r="AA756" i="3" s="1"/>
  <c r="J22" i="3" l="1"/>
  <c r="J21" i="3"/>
  <c r="J20" i="3"/>
  <c r="J19" i="3"/>
  <c r="J18" i="3"/>
  <c r="J17" i="3"/>
  <c r="J16" i="3"/>
  <c r="J15" i="3"/>
  <c r="J14" i="3"/>
  <c r="J13" i="3"/>
  <c r="J12" i="3"/>
  <c r="J11" i="3"/>
  <c r="J10" i="3"/>
  <c r="J9" i="3"/>
  <c r="J8" i="3"/>
  <c r="J7" i="3"/>
  <c r="J6" i="3"/>
  <c r="J5" i="3"/>
  <c r="J4"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3" i="3"/>
  <c r="G3" i="3" l="1"/>
  <c r="H3" i="3" s="1"/>
  <c r="G5" i="3"/>
  <c r="G4"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29" i="2"/>
  <c r="G30" i="2"/>
  <c r="G28" i="2"/>
  <c r="G27" i="2"/>
  <c r="G26" i="2"/>
  <c r="G25" i="2"/>
  <c r="G24" i="2"/>
  <c r="G23" i="2"/>
  <c r="G22" i="2"/>
  <c r="G21" i="2"/>
  <c r="G20" i="2"/>
  <c r="G19" i="2"/>
  <c r="G18" i="2"/>
  <c r="G17" i="2"/>
  <c r="G16" i="2"/>
  <c r="G15" i="2"/>
  <c r="G14" i="2"/>
  <c r="G13" i="2"/>
  <c r="G12" i="2"/>
  <c r="G11" i="2"/>
  <c r="G10" i="2"/>
  <c r="G9" i="2"/>
  <c r="G8" i="2"/>
  <c r="G7" i="2"/>
  <c r="G6" i="2"/>
  <c r="G5" i="2"/>
  <c r="G4" i="2"/>
  <c r="G3" i="2"/>
  <c r="H3" i="2" s="1"/>
  <c r="H4" i="2" s="1"/>
  <c r="H5" i="2" s="1"/>
  <c r="H6" i="2" s="1"/>
  <c r="H7" i="2" s="1"/>
  <c r="H8" i="2" s="1"/>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H43" i="2" s="1"/>
  <c r="H44" i="2" s="1"/>
  <c r="H45" i="2" s="1"/>
  <c r="H46" i="2" s="1"/>
  <c r="H47" i="2" s="1"/>
  <c r="H48" i="2" s="1"/>
  <c r="H49" i="2" s="1"/>
  <c r="H50" i="2" s="1"/>
  <c r="H51" i="2" s="1"/>
  <c r="H52" i="2" s="1"/>
  <c r="H53" i="2" s="1"/>
  <c r="H54" i="2" s="1"/>
  <c r="H55" i="2" s="1"/>
  <c r="H56" i="2" s="1"/>
  <c r="H57" i="2" s="1"/>
  <c r="H58" i="2" s="1"/>
  <c r="H59" i="2" s="1"/>
  <c r="I3" i="3" l="1"/>
  <c r="H4" i="3"/>
  <c r="I4" i="3" s="1"/>
  <c r="P409" i="1"/>
  <c r="J419" i="1"/>
  <c r="J418" i="1"/>
  <c r="J417" i="1"/>
  <c r="J416" i="1"/>
  <c r="J415" i="1"/>
  <c r="J414" i="1"/>
  <c r="J413" i="1"/>
  <c r="J412" i="1"/>
  <c r="J411" i="1"/>
  <c r="P411" i="1" s="1"/>
  <c r="J410" i="1"/>
  <c r="R410" i="1" s="1"/>
  <c r="J409" i="1"/>
  <c r="Q409" i="1" s="1"/>
  <c r="R408" i="1"/>
  <c r="J408" i="1"/>
  <c r="Q408" i="1" s="1"/>
  <c r="R409" i="1" l="1"/>
  <c r="P408" i="1"/>
  <c r="P410" i="1"/>
  <c r="Q410" i="1"/>
  <c r="K4" i="3" l="1"/>
  <c r="L4" i="3" s="1"/>
  <c r="M4" i="3" s="1"/>
  <c r="K5" i="3"/>
  <c r="K6" i="3"/>
  <c r="K7" i="3"/>
  <c r="K8" i="3"/>
  <c r="L8" i="3" s="1"/>
  <c r="K9" i="3"/>
  <c r="K10" i="3"/>
  <c r="K11" i="3"/>
  <c r="K12" i="3"/>
  <c r="L12" i="3" s="1"/>
  <c r="K13" i="3"/>
  <c r="K14" i="3"/>
  <c r="K15" i="3"/>
  <c r="K16" i="3"/>
  <c r="L16" i="3" s="1"/>
  <c r="K17" i="3"/>
  <c r="K18" i="3"/>
  <c r="K19" i="3"/>
  <c r="K20" i="3"/>
  <c r="L20" i="3" s="1"/>
  <c r="K21" i="3"/>
  <c r="K22" i="3"/>
  <c r="K23" i="3"/>
  <c r="K24" i="3"/>
  <c r="L24" i="3" s="1"/>
  <c r="K25" i="3"/>
  <c r="K26" i="3"/>
  <c r="K27" i="3"/>
  <c r="K28" i="3"/>
  <c r="L28" i="3" s="1"/>
  <c r="K29" i="3"/>
  <c r="K30" i="3"/>
  <c r="K31" i="3"/>
  <c r="K32" i="3"/>
  <c r="L32" i="3" s="1"/>
  <c r="K33" i="3"/>
  <c r="K34" i="3"/>
  <c r="K35" i="3"/>
  <c r="K36" i="3"/>
  <c r="L36" i="3" s="1"/>
  <c r="K37" i="3"/>
  <c r="K38" i="3"/>
  <c r="K39" i="3"/>
  <c r="K40" i="3"/>
  <c r="L40" i="3" s="1"/>
  <c r="K41" i="3"/>
  <c r="K42" i="3"/>
  <c r="K43" i="3"/>
  <c r="K44" i="3"/>
  <c r="L44" i="3" s="1"/>
  <c r="K45" i="3"/>
  <c r="K46" i="3"/>
  <c r="K47" i="3"/>
  <c r="K48" i="3"/>
  <c r="L48" i="3" s="1"/>
  <c r="K49" i="3"/>
  <c r="K50" i="3"/>
  <c r="K51" i="3"/>
  <c r="K52" i="3"/>
  <c r="L52" i="3" s="1"/>
  <c r="K53" i="3"/>
  <c r="K54" i="3"/>
  <c r="K55" i="3"/>
  <c r="K56" i="3"/>
  <c r="L56" i="3" s="1"/>
  <c r="K57" i="3"/>
  <c r="K58" i="3"/>
  <c r="K59" i="3"/>
  <c r="K60" i="3"/>
  <c r="L60" i="3" s="1"/>
  <c r="K61" i="3"/>
  <c r="K3" i="3"/>
  <c r="L61" i="3" l="1"/>
  <c r="L57" i="3"/>
  <c r="L53" i="3"/>
  <c r="L49" i="3"/>
  <c r="L45" i="3"/>
  <c r="L41" i="3"/>
  <c r="L37" i="3"/>
  <c r="L33" i="3"/>
  <c r="L29" i="3"/>
  <c r="L25" i="3"/>
  <c r="L21" i="3"/>
  <c r="L17" i="3"/>
  <c r="L13" i="3"/>
  <c r="L9" i="3"/>
  <c r="L5" i="3"/>
  <c r="L3" i="3"/>
  <c r="M3" i="3" s="1"/>
  <c r="L46" i="3"/>
  <c r="L38" i="3"/>
  <c r="L30" i="3"/>
  <c r="L14" i="3"/>
  <c r="L6" i="3"/>
  <c r="L54" i="3"/>
  <c r="L22" i="3"/>
  <c r="L35" i="3"/>
  <c r="L55" i="3"/>
  <c r="L47" i="3"/>
  <c r="L39" i="3"/>
  <c r="L31" i="3"/>
  <c r="L23" i="3"/>
  <c r="L19" i="3"/>
  <c r="L15" i="3"/>
  <c r="L11" i="3"/>
  <c r="L7" i="3"/>
  <c r="L58" i="3"/>
  <c r="L50" i="3"/>
  <c r="L42" i="3"/>
  <c r="L34" i="3"/>
  <c r="L26" i="3"/>
  <c r="L18" i="3"/>
  <c r="L10" i="3"/>
  <c r="L59" i="3"/>
  <c r="L51" i="3"/>
  <c r="L43" i="3"/>
  <c r="L27" i="3"/>
  <c r="H5" i="3"/>
  <c r="I5" i="3" s="1"/>
  <c r="P852" i="1"/>
  <c r="R819" i="1"/>
  <c r="Q819" i="1"/>
  <c r="P819" i="1"/>
  <c r="R826" i="1"/>
  <c r="Q826" i="1"/>
  <c r="P826" i="1"/>
  <c r="R828" i="1"/>
  <c r="Q828" i="1"/>
  <c r="P828" i="1"/>
  <c r="R833" i="1"/>
  <c r="Q833" i="1"/>
  <c r="P833" i="1"/>
  <c r="R835" i="1"/>
  <c r="Q835" i="1"/>
  <c r="P835" i="1"/>
  <c r="R836" i="1"/>
  <c r="Q836" i="1"/>
  <c r="P836" i="1"/>
  <c r="R849" i="1"/>
  <c r="Q849" i="1"/>
  <c r="P849" i="1"/>
  <c r="R844" i="1"/>
  <c r="Q844" i="1"/>
  <c r="P844" i="1"/>
  <c r="R842" i="1"/>
  <c r="Q842" i="1"/>
  <c r="P842" i="1"/>
  <c r="R841" i="1"/>
  <c r="Q841" i="1"/>
  <c r="P841" i="1"/>
  <c r="R840" i="1"/>
  <c r="Q840" i="1"/>
  <c r="P840" i="1"/>
  <c r="R838" i="1"/>
  <c r="Q838" i="1"/>
  <c r="P838" i="1"/>
  <c r="R837" i="1"/>
  <c r="Q837" i="1"/>
  <c r="P837" i="1"/>
  <c r="R850" i="1"/>
  <c r="Q850" i="1"/>
  <c r="P850" i="1"/>
  <c r="R821" i="1"/>
  <c r="Q821" i="1"/>
  <c r="P821" i="1"/>
  <c r="R824" i="1"/>
  <c r="Q824" i="1"/>
  <c r="P824" i="1"/>
  <c r="R820" i="1"/>
  <c r="Q820" i="1"/>
  <c r="P820" i="1"/>
  <c r="R818" i="1"/>
  <c r="Q818" i="1"/>
  <c r="P818" i="1"/>
  <c r="R827" i="1"/>
  <c r="Q827" i="1"/>
  <c r="P827" i="1"/>
  <c r="R825" i="1"/>
  <c r="Q825" i="1"/>
  <c r="P825" i="1"/>
  <c r="F852" i="1"/>
  <c r="F851" i="1"/>
  <c r="J851" i="1" s="1"/>
  <c r="P851" i="1" s="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18" i="1"/>
  <c r="J691" i="1"/>
  <c r="H6" i="3" l="1"/>
  <c r="I6" i="3" s="1"/>
  <c r="M5" i="3"/>
  <c r="H7" i="3" l="1"/>
  <c r="I7" i="3" s="1"/>
  <c r="M6" i="3"/>
  <c r="P4" i="1"/>
  <c r="Q4" i="1"/>
  <c r="S4" i="1" s="1"/>
  <c r="R4" i="1"/>
  <c r="P5" i="1"/>
  <c r="Q5" i="1"/>
  <c r="S5" i="1" s="1"/>
  <c r="R5" i="1"/>
  <c r="P6" i="1"/>
  <c r="Q6" i="1"/>
  <c r="S6" i="1" s="1"/>
  <c r="R6" i="1"/>
  <c r="S7" i="1"/>
  <c r="J8" i="1"/>
  <c r="P8" i="1" s="1"/>
  <c r="P10" i="1"/>
  <c r="Q10" i="1"/>
  <c r="R10" i="1"/>
  <c r="P11" i="1"/>
  <c r="Q11" i="1"/>
  <c r="R11" i="1"/>
  <c r="P12" i="1"/>
  <c r="Q12" i="1"/>
  <c r="S12" i="1" s="1"/>
  <c r="R12" i="1"/>
  <c r="P13" i="1"/>
  <c r="Q13" i="1"/>
  <c r="S13" i="1" s="1"/>
  <c r="R13" i="1"/>
  <c r="P14" i="1"/>
  <c r="Q14" i="1"/>
  <c r="R14" i="1"/>
  <c r="P15" i="1"/>
  <c r="Q15" i="1"/>
  <c r="R15" i="1"/>
  <c r="P16" i="1"/>
  <c r="Q16" i="1"/>
  <c r="S16" i="1" s="1"/>
  <c r="R16" i="1"/>
  <c r="J17" i="1"/>
  <c r="R17" i="1" s="1"/>
  <c r="J18" i="1"/>
  <c r="P18" i="1" s="1"/>
  <c r="J19" i="1"/>
  <c r="P19" i="1" s="1"/>
  <c r="J20" i="1"/>
  <c r="P20" i="1" s="1"/>
  <c r="P21" i="1"/>
  <c r="Q21" i="1"/>
  <c r="S21" i="1" s="1"/>
  <c r="R21" i="1"/>
  <c r="J22" i="1"/>
  <c r="R22" i="1" s="1"/>
  <c r="P26" i="1"/>
  <c r="Q26" i="1"/>
  <c r="S26" i="1" s="1"/>
  <c r="R26" i="1"/>
  <c r="P27" i="1"/>
  <c r="Q27" i="1"/>
  <c r="S27" i="1" s="1"/>
  <c r="R27" i="1"/>
  <c r="P28" i="1"/>
  <c r="Q28" i="1"/>
  <c r="S28" i="1" s="1"/>
  <c r="R28" i="1"/>
  <c r="P29" i="1"/>
  <c r="Q29" i="1"/>
  <c r="S29" i="1" s="1"/>
  <c r="R29" i="1"/>
  <c r="P30" i="1"/>
  <c r="Q30" i="1"/>
  <c r="S30" i="1" s="1"/>
  <c r="R30" i="1"/>
  <c r="J31" i="1"/>
  <c r="P31" i="1" s="1"/>
  <c r="J32" i="1"/>
  <c r="Q32" i="1" s="1"/>
  <c r="S32" i="1" s="1"/>
  <c r="J33" i="1"/>
  <c r="P33" i="1" s="1"/>
  <c r="J34" i="1"/>
  <c r="P34" i="1" s="1"/>
  <c r="P35" i="1"/>
  <c r="Q35" i="1"/>
  <c r="S35" i="1" s="1"/>
  <c r="R35" i="1"/>
  <c r="P36" i="1"/>
  <c r="Q36" i="1"/>
  <c r="S36" i="1" s="1"/>
  <c r="R36" i="1"/>
  <c r="P37" i="1"/>
  <c r="Q37" i="1"/>
  <c r="S37" i="1" s="1"/>
  <c r="R37" i="1"/>
  <c r="P38" i="1"/>
  <c r="Q38" i="1"/>
  <c r="S38" i="1" s="1"/>
  <c r="R38" i="1"/>
  <c r="P39" i="1"/>
  <c r="Q39" i="1"/>
  <c r="S39" i="1" s="1"/>
  <c r="R39" i="1"/>
  <c r="J40" i="1"/>
  <c r="J41" i="1"/>
  <c r="P41" i="1" s="1"/>
  <c r="J45" i="1"/>
  <c r="P45" i="1" s="1"/>
  <c r="Q45" i="1"/>
  <c r="J46" i="1"/>
  <c r="J47" i="1"/>
  <c r="P47" i="1" s="1"/>
  <c r="Q47" i="1"/>
  <c r="J50" i="1"/>
  <c r="J51" i="1"/>
  <c r="R51" i="1" s="1"/>
  <c r="J52" i="1"/>
  <c r="J53" i="1"/>
  <c r="P53" i="1" s="1"/>
  <c r="J54" i="1"/>
  <c r="P54" i="1" s="1"/>
  <c r="J55" i="1"/>
  <c r="R55" i="1" s="1"/>
  <c r="J56" i="1"/>
  <c r="J57" i="1"/>
  <c r="Q57" i="1" s="1"/>
  <c r="J58" i="1"/>
  <c r="J59" i="1"/>
  <c r="P59" i="1" s="1"/>
  <c r="P61" i="1"/>
  <c r="Q61" i="1"/>
  <c r="R61" i="1"/>
  <c r="P62" i="1"/>
  <c r="Q62" i="1"/>
  <c r="R62" i="1"/>
  <c r="P63" i="1"/>
  <c r="Q63" i="1"/>
  <c r="R63" i="1"/>
  <c r="P64" i="1"/>
  <c r="Q64" i="1"/>
  <c r="R64" i="1"/>
  <c r="P65" i="1"/>
  <c r="Q65" i="1"/>
  <c r="R65" i="1"/>
  <c r="P66" i="1"/>
  <c r="Q66" i="1"/>
  <c r="R66" i="1"/>
  <c r="P67" i="1"/>
  <c r="Q67" i="1"/>
  <c r="R67" i="1"/>
  <c r="P68" i="1"/>
  <c r="Q68" i="1"/>
  <c r="R68" i="1"/>
  <c r="P69" i="1"/>
  <c r="Q69" i="1"/>
  <c r="R69" i="1"/>
  <c r="P70" i="1"/>
  <c r="Q70" i="1"/>
  <c r="R70" i="1"/>
  <c r="P71" i="1"/>
  <c r="Q71" i="1"/>
  <c r="R71" i="1"/>
  <c r="J78" i="1"/>
  <c r="P78" i="1"/>
  <c r="J81" i="1"/>
  <c r="P81" i="1" s="1"/>
  <c r="J82" i="1"/>
  <c r="P82" i="1" s="1"/>
  <c r="J83" i="1"/>
  <c r="P83" i="1" s="1"/>
  <c r="J84" i="1"/>
  <c r="P84" i="1" s="1"/>
  <c r="J85" i="1"/>
  <c r="P85" i="1" s="1"/>
  <c r="J88" i="1"/>
  <c r="P88" i="1" s="1"/>
  <c r="J89" i="1"/>
  <c r="P89" i="1" s="1"/>
  <c r="J90" i="1"/>
  <c r="P90" i="1" s="1"/>
  <c r="J91" i="1"/>
  <c r="P91" i="1" s="1"/>
  <c r="J92" i="1"/>
  <c r="P92" i="1"/>
  <c r="J93" i="1"/>
  <c r="Q93" i="1" s="1"/>
  <c r="M93" i="1"/>
  <c r="O93" i="1"/>
  <c r="J94" i="1"/>
  <c r="P94" i="1" s="1"/>
  <c r="J95" i="1"/>
  <c r="P95" i="1" s="1"/>
  <c r="J96" i="1"/>
  <c r="P96" i="1" s="1"/>
  <c r="J97" i="1"/>
  <c r="P97" i="1" s="1"/>
  <c r="J98" i="1"/>
  <c r="P98" i="1" s="1"/>
  <c r="J99" i="1"/>
  <c r="P99" i="1" s="1"/>
  <c r="J100" i="1"/>
  <c r="P100" i="1" s="1"/>
  <c r="J101" i="1"/>
  <c r="P101" i="1" s="1"/>
  <c r="J102" i="1"/>
  <c r="P102" i="1" s="1"/>
  <c r="J103" i="1"/>
  <c r="P103" i="1" s="1"/>
  <c r="J104" i="1"/>
  <c r="P104" i="1" s="1"/>
  <c r="J105" i="1"/>
  <c r="P105" i="1" s="1"/>
  <c r="J106" i="1"/>
  <c r="P106" i="1" s="1"/>
  <c r="J107" i="1"/>
  <c r="P107" i="1" s="1"/>
  <c r="J108" i="1"/>
  <c r="P108" i="1" s="1"/>
  <c r="J109" i="1"/>
  <c r="P109" i="1" s="1"/>
  <c r="J116" i="1"/>
  <c r="P116" i="1" s="1"/>
  <c r="J117" i="1"/>
  <c r="Q117" i="1" s="1"/>
  <c r="M117" i="1"/>
  <c r="O117" i="1"/>
  <c r="J118" i="1"/>
  <c r="P118" i="1" s="1"/>
  <c r="P120" i="1"/>
  <c r="J121" i="1"/>
  <c r="P121" i="1" s="1"/>
  <c r="J122" i="1"/>
  <c r="P122" i="1" s="1"/>
  <c r="J123" i="1"/>
  <c r="P123" i="1" s="1"/>
  <c r="J124" i="1"/>
  <c r="P124" i="1" s="1"/>
  <c r="J125" i="1"/>
  <c r="P125" i="1" s="1"/>
  <c r="J131" i="1"/>
  <c r="P131" i="1" s="1"/>
  <c r="J132" i="1"/>
  <c r="P132" i="1" s="1"/>
  <c r="J133" i="1"/>
  <c r="P133" i="1" s="1"/>
  <c r="J134" i="1"/>
  <c r="P134" i="1" s="1"/>
  <c r="J135" i="1"/>
  <c r="P135" i="1" s="1"/>
  <c r="J136" i="1"/>
  <c r="P136" i="1" s="1"/>
  <c r="J137" i="1"/>
  <c r="P137" i="1" s="1"/>
  <c r="J138" i="1"/>
  <c r="Q138" i="1" s="1"/>
  <c r="M138" i="1"/>
  <c r="O138" i="1"/>
  <c r="J139" i="1"/>
  <c r="Q139" i="1" s="1"/>
  <c r="M139" i="1"/>
  <c r="O139" i="1"/>
  <c r="J140" i="1"/>
  <c r="R140" i="1" s="1"/>
  <c r="J141" i="1"/>
  <c r="R141" i="1" s="1"/>
  <c r="J142" i="1"/>
  <c r="R142" i="1" s="1"/>
  <c r="J143" i="1"/>
  <c r="R143" i="1" s="1"/>
  <c r="J144" i="1"/>
  <c r="R144" i="1" s="1"/>
  <c r="J145" i="1"/>
  <c r="R145" i="1" s="1"/>
  <c r="J146" i="1"/>
  <c r="J147" i="1"/>
  <c r="Q147" i="1" s="1"/>
  <c r="J148" i="1"/>
  <c r="P148" i="1" s="1"/>
  <c r="J149" i="1"/>
  <c r="P149" i="1" s="1"/>
  <c r="J150" i="1"/>
  <c r="P150" i="1" s="1"/>
  <c r="P151" i="1"/>
  <c r="Q151" i="1"/>
  <c r="R151" i="1"/>
  <c r="J152" i="1"/>
  <c r="Q152" i="1" s="1"/>
  <c r="J153" i="1"/>
  <c r="Q153" i="1" s="1"/>
  <c r="J154" i="1"/>
  <c r="Q154" i="1" s="1"/>
  <c r="J155" i="1"/>
  <c r="P155" i="1" s="1"/>
  <c r="J156" i="1"/>
  <c r="Q156" i="1" s="1"/>
  <c r="M156" i="1"/>
  <c r="O156" i="1"/>
  <c r="J157" i="1"/>
  <c r="Q157" i="1" s="1"/>
  <c r="M157" i="1"/>
  <c r="O157" i="1"/>
  <c r="J158" i="1"/>
  <c r="Q158" i="1" s="1"/>
  <c r="J161" i="1"/>
  <c r="Q161" i="1" s="1"/>
  <c r="P184" i="1"/>
  <c r="P185" i="1"/>
  <c r="P187" i="1"/>
  <c r="J188" i="1"/>
  <c r="J189" i="1"/>
  <c r="P189" i="1" s="1"/>
  <c r="Q189" i="1" s="1"/>
  <c r="R189" i="1" s="1"/>
  <c r="J190" i="1"/>
  <c r="P190" i="1" s="1"/>
  <c r="Q190" i="1" s="1"/>
  <c r="R190" i="1" s="1"/>
  <c r="J191" i="1"/>
  <c r="P191" i="1" s="1"/>
  <c r="Q191" i="1" s="1"/>
  <c r="R191" i="1" s="1"/>
  <c r="J192" i="1"/>
  <c r="P192" i="1" s="1"/>
  <c r="Q192" i="1" s="1"/>
  <c r="R192" i="1" s="1"/>
  <c r="J193" i="1"/>
  <c r="P193" i="1" s="1"/>
  <c r="Q193" i="1" s="1"/>
  <c r="R193" i="1" s="1"/>
  <c r="J194" i="1"/>
  <c r="P194" i="1" s="1"/>
  <c r="Q194" i="1" s="1"/>
  <c r="R194" i="1" s="1"/>
  <c r="J195" i="1"/>
  <c r="P195" i="1" s="1"/>
  <c r="Q195" i="1" s="1"/>
  <c r="R195" i="1" s="1"/>
  <c r="J199" i="1"/>
  <c r="P199" i="1" s="1"/>
  <c r="J200" i="1"/>
  <c r="R200" i="1" s="1"/>
  <c r="J201" i="1"/>
  <c r="R201" i="1" s="1"/>
  <c r="J202" i="1"/>
  <c r="R202" i="1" s="1"/>
  <c r="J203" i="1"/>
  <c r="J204" i="1"/>
  <c r="J205" i="1"/>
  <c r="J206" i="1"/>
  <c r="R206" i="1" s="1"/>
  <c r="J207" i="1"/>
  <c r="J208" i="1"/>
  <c r="J209" i="1"/>
  <c r="R210" i="1"/>
  <c r="J211" i="1"/>
  <c r="P211" i="1" s="1"/>
  <c r="J212" i="1"/>
  <c r="P212" i="1" s="1"/>
  <c r="J213" i="1"/>
  <c r="P213" i="1" s="1"/>
  <c r="J214" i="1"/>
  <c r="J216" i="1"/>
  <c r="J217" i="1"/>
  <c r="P217" i="1" s="1"/>
  <c r="J218" i="1"/>
  <c r="P218" i="1" s="1"/>
  <c r="J219" i="1"/>
  <c r="J220" i="1"/>
  <c r="Q220" i="1" s="1"/>
  <c r="J221" i="1"/>
  <c r="P221" i="1" s="1"/>
  <c r="J222" i="1"/>
  <c r="J223" i="1"/>
  <c r="J224" i="1"/>
  <c r="R224" i="1" s="1"/>
  <c r="J225" i="1"/>
  <c r="J226" i="1"/>
  <c r="P226" i="1" s="1"/>
  <c r="J227" i="1"/>
  <c r="P227" i="1" s="1"/>
  <c r="J228" i="1"/>
  <c r="P228" i="1"/>
  <c r="J229" i="1"/>
  <c r="J230" i="1"/>
  <c r="R230" i="1" s="1"/>
  <c r="J231" i="1"/>
  <c r="P231" i="1" s="1"/>
  <c r="J232" i="1"/>
  <c r="P232" i="1" s="1"/>
  <c r="J233" i="1"/>
  <c r="P233" i="1" s="1"/>
  <c r="J234" i="1"/>
  <c r="J235" i="1"/>
  <c r="Q235" i="1" s="1"/>
  <c r="J236" i="1"/>
  <c r="P236" i="1" s="1"/>
  <c r="J237" i="1"/>
  <c r="P237" i="1" s="1"/>
  <c r="J241" i="1"/>
  <c r="Q241" i="1" s="1"/>
  <c r="M241" i="1"/>
  <c r="O241" i="1"/>
  <c r="J242" i="1"/>
  <c r="R242" i="1" s="1"/>
  <c r="J249" i="1"/>
  <c r="Q249" i="1" s="1"/>
  <c r="M249" i="1"/>
  <c r="O249" i="1"/>
  <c r="J250" i="1"/>
  <c r="Q250" i="1" s="1"/>
  <c r="M250" i="1"/>
  <c r="O250" i="1"/>
  <c r="J251" i="1"/>
  <c r="M251" i="1"/>
  <c r="O251" i="1"/>
  <c r="J252" i="1"/>
  <c r="P252" i="1" s="1"/>
  <c r="J257" i="1"/>
  <c r="J258" i="1"/>
  <c r="P258" i="1" s="1"/>
  <c r="J261" i="1"/>
  <c r="J262" i="1"/>
  <c r="Q262" i="1" s="1"/>
  <c r="J263" i="1"/>
  <c r="R263" i="1" s="1"/>
  <c r="J264" i="1"/>
  <c r="J265" i="1"/>
  <c r="P265" i="1" s="1"/>
  <c r="J266" i="1"/>
  <c r="P266" i="1" s="1"/>
  <c r="J267" i="1"/>
  <c r="R267" i="1" s="1"/>
  <c r="J268" i="1"/>
  <c r="J272" i="1"/>
  <c r="Q272" i="1" s="1"/>
  <c r="J275" i="1"/>
  <c r="Q275" i="1" s="1"/>
  <c r="J276" i="1"/>
  <c r="R276" i="1" s="1"/>
  <c r="J277" i="1"/>
  <c r="Q277" i="1" s="1"/>
  <c r="J278" i="1"/>
  <c r="R281" i="1"/>
  <c r="P282" i="1"/>
  <c r="R283" i="1"/>
  <c r="Q283" i="1"/>
  <c r="R284" i="1"/>
  <c r="R285" i="1"/>
  <c r="P286" i="1"/>
  <c r="R287" i="1"/>
  <c r="Q288" i="1"/>
  <c r="P290" i="1"/>
  <c r="R291" i="1"/>
  <c r="P292" i="1"/>
  <c r="Q293" i="1"/>
  <c r="R294" i="1"/>
  <c r="P295" i="1"/>
  <c r="P296" i="1"/>
  <c r="R298" i="1"/>
  <c r="Q299" i="1"/>
  <c r="P300" i="1"/>
  <c r="Q301" i="1"/>
  <c r="R302" i="1"/>
  <c r="Q303" i="1"/>
  <c r="Q305" i="1"/>
  <c r="Q307" i="1"/>
  <c r="P308" i="1"/>
  <c r="J309" i="1"/>
  <c r="Q309" i="1" s="1"/>
  <c r="R310" i="1"/>
  <c r="R311" i="1"/>
  <c r="P312" i="1"/>
  <c r="Q314" i="1"/>
  <c r="J315" i="1"/>
  <c r="R315" i="1" s="1"/>
  <c r="J316" i="1"/>
  <c r="P316" i="1" s="1"/>
  <c r="J317" i="1"/>
  <c r="P317" i="1" s="1"/>
  <c r="J318" i="1"/>
  <c r="P318" i="1" s="1"/>
  <c r="J319" i="1"/>
  <c r="P319" i="1" s="1"/>
  <c r="J320" i="1"/>
  <c r="J321" i="1"/>
  <c r="R321" i="1" s="1"/>
  <c r="J322" i="1"/>
  <c r="Q322" i="1" s="1"/>
  <c r="J323" i="1"/>
  <c r="Q323" i="1" s="1"/>
  <c r="J324" i="1"/>
  <c r="Q324" i="1" s="1"/>
  <c r="P324" i="1"/>
  <c r="J325" i="1"/>
  <c r="Q325" i="1" s="1"/>
  <c r="M325" i="1"/>
  <c r="O325" i="1"/>
  <c r="J326" i="1"/>
  <c r="M326" i="1"/>
  <c r="O326" i="1"/>
  <c r="J327" i="1"/>
  <c r="Q327" i="1" s="1"/>
  <c r="M327" i="1"/>
  <c r="P327" i="1" s="1"/>
  <c r="O327" i="1"/>
  <c r="J328" i="1"/>
  <c r="Q328" i="1" s="1"/>
  <c r="M328" i="1"/>
  <c r="O328" i="1"/>
  <c r="J329" i="1"/>
  <c r="M329" i="1"/>
  <c r="O329" i="1"/>
  <c r="J330" i="1"/>
  <c r="P330" i="1" s="1"/>
  <c r="J334" i="1"/>
  <c r="Q334" i="1" s="1"/>
  <c r="M334" i="1"/>
  <c r="O334" i="1"/>
  <c r="J335" i="1"/>
  <c r="Q335" i="1" s="1"/>
  <c r="M335" i="1"/>
  <c r="O335" i="1"/>
  <c r="J336" i="1"/>
  <c r="Q336" i="1" s="1"/>
  <c r="M336" i="1"/>
  <c r="O336" i="1"/>
  <c r="P340" i="1"/>
  <c r="Q340" i="1"/>
  <c r="R340" i="1"/>
  <c r="J342" i="1"/>
  <c r="P342" i="1" s="1"/>
  <c r="J343" i="1"/>
  <c r="J344" i="1"/>
  <c r="Q344" i="1" s="1"/>
  <c r="J345" i="1"/>
  <c r="J346" i="1"/>
  <c r="R346" i="1" s="1"/>
  <c r="J347" i="1"/>
  <c r="Q347" i="1" s="1"/>
  <c r="J348" i="1"/>
  <c r="Q348" i="1" s="1"/>
  <c r="J349" i="1"/>
  <c r="Q349" i="1" s="1"/>
  <c r="J350" i="1"/>
  <c r="Q350" i="1" s="1"/>
  <c r="J362" i="1"/>
  <c r="Q362" i="1" s="1"/>
  <c r="J363" i="1"/>
  <c r="J364" i="1"/>
  <c r="Q364" i="1" s="1"/>
  <c r="J365" i="1"/>
  <c r="J366" i="1"/>
  <c r="P366" i="1" s="1"/>
  <c r="R366" i="1"/>
  <c r="J367" i="1"/>
  <c r="P367" i="1" s="1"/>
  <c r="J368" i="1"/>
  <c r="Q368" i="1" s="1"/>
  <c r="J369" i="1"/>
  <c r="R369" i="1" s="1"/>
  <c r="J370" i="1"/>
  <c r="P370" i="1" s="1"/>
  <c r="J371" i="1"/>
  <c r="P371" i="1" s="1"/>
  <c r="J372" i="1"/>
  <c r="J373" i="1"/>
  <c r="R373" i="1" s="1"/>
  <c r="J374" i="1"/>
  <c r="P374" i="1" s="1"/>
  <c r="J375" i="1"/>
  <c r="P375" i="1" s="1"/>
  <c r="J376" i="1"/>
  <c r="P376" i="1" s="1"/>
  <c r="J377" i="1"/>
  <c r="J378" i="1"/>
  <c r="R378" i="1" s="1"/>
  <c r="J379" i="1"/>
  <c r="P379" i="1" s="1"/>
  <c r="J380" i="1"/>
  <c r="P380" i="1" s="1"/>
  <c r="J381" i="1"/>
  <c r="P381" i="1" s="1"/>
  <c r="J382" i="1"/>
  <c r="Q382" i="1" s="1"/>
  <c r="J383" i="1"/>
  <c r="R383" i="1" s="1"/>
  <c r="J384" i="1"/>
  <c r="P384" i="1" s="1"/>
  <c r="J385" i="1"/>
  <c r="J386" i="1"/>
  <c r="Q386" i="1" s="1"/>
  <c r="J387" i="1"/>
  <c r="Q387" i="1" s="1"/>
  <c r="J388" i="1"/>
  <c r="R388" i="1" s="1"/>
  <c r="J389" i="1"/>
  <c r="P389" i="1" s="1"/>
  <c r="J390" i="1"/>
  <c r="J391" i="1"/>
  <c r="Q391" i="1" s="1"/>
  <c r="J392" i="1"/>
  <c r="Q392" i="1" s="1"/>
  <c r="J393" i="1"/>
  <c r="R393" i="1" s="1"/>
  <c r="J394" i="1"/>
  <c r="P394" i="1" s="1"/>
  <c r="J395" i="1"/>
  <c r="J396" i="1"/>
  <c r="Q396" i="1" s="1"/>
  <c r="J397" i="1"/>
  <c r="Q397" i="1" s="1"/>
  <c r="J398" i="1"/>
  <c r="R398" i="1" s="1"/>
  <c r="J399" i="1"/>
  <c r="P399" i="1" s="1"/>
  <c r="J400" i="1"/>
  <c r="P400" i="1" s="1"/>
  <c r="J401" i="1"/>
  <c r="J402" i="1"/>
  <c r="Q402" i="1" s="1"/>
  <c r="J403" i="1"/>
  <c r="J404" i="1"/>
  <c r="R404" i="1" s="1"/>
  <c r="J405" i="1"/>
  <c r="P405" i="1" s="1"/>
  <c r="J406" i="1"/>
  <c r="J407" i="1"/>
  <c r="Q407" i="1" s="1"/>
  <c r="R411" i="1"/>
  <c r="Q412" i="1"/>
  <c r="P412" i="1"/>
  <c r="R412" i="1"/>
  <c r="P414" i="1"/>
  <c r="R415" i="1"/>
  <c r="R416" i="1"/>
  <c r="Q416" i="1"/>
  <c r="Q417" i="1"/>
  <c r="J420" i="1"/>
  <c r="P420" i="1" s="1"/>
  <c r="J421" i="1"/>
  <c r="R421" i="1" s="1"/>
  <c r="J422" i="1"/>
  <c r="Q422" i="1" s="1"/>
  <c r="P422" i="1"/>
  <c r="R422" i="1"/>
  <c r="J423" i="1"/>
  <c r="J424" i="1"/>
  <c r="J425" i="1"/>
  <c r="R425" i="1" s="1"/>
  <c r="J426" i="1"/>
  <c r="Q426" i="1" s="1"/>
  <c r="M426" i="1"/>
  <c r="O426" i="1"/>
  <c r="J427" i="1"/>
  <c r="Q427" i="1" s="1"/>
  <c r="M427" i="1"/>
  <c r="O427" i="1"/>
  <c r="J428" i="1"/>
  <c r="R428" i="1" s="1"/>
  <c r="J429" i="1"/>
  <c r="Q429" i="1" s="1"/>
  <c r="J430" i="1"/>
  <c r="Q430" i="1" s="1"/>
  <c r="J431" i="1"/>
  <c r="J433" i="1"/>
  <c r="J434" i="1"/>
  <c r="R434" i="1" s="1"/>
  <c r="J436" i="1"/>
  <c r="R436" i="1" s="1"/>
  <c r="J437" i="1"/>
  <c r="J438" i="1"/>
  <c r="J439" i="1"/>
  <c r="R439" i="1" s="1"/>
  <c r="J440" i="1"/>
  <c r="M440" i="1"/>
  <c r="N440" i="1"/>
  <c r="O440" i="1"/>
  <c r="J441" i="1"/>
  <c r="M441" i="1"/>
  <c r="N441" i="1"/>
  <c r="O441" i="1"/>
  <c r="J442" i="1"/>
  <c r="M442" i="1"/>
  <c r="N442" i="1"/>
  <c r="O442" i="1"/>
  <c r="J447" i="1"/>
  <c r="R447" i="1" s="1"/>
  <c r="J448" i="1"/>
  <c r="Q448" i="1" s="1"/>
  <c r="J450" i="1"/>
  <c r="M450" i="1"/>
  <c r="O450" i="1"/>
  <c r="J451" i="1"/>
  <c r="M451" i="1"/>
  <c r="O451" i="1"/>
  <c r="J452" i="1"/>
  <c r="J453" i="1"/>
  <c r="Q453" i="1" s="1"/>
  <c r="J454" i="1"/>
  <c r="Q454" i="1" s="1"/>
  <c r="M456" i="1"/>
  <c r="P456" i="1" s="1"/>
  <c r="O456" i="1"/>
  <c r="R456" i="1" s="1"/>
  <c r="M457" i="1"/>
  <c r="P457" i="1" s="1"/>
  <c r="O457" i="1"/>
  <c r="R457" i="1" s="1"/>
  <c r="J458" i="1"/>
  <c r="Q458" i="1" s="1"/>
  <c r="M458" i="1"/>
  <c r="P458" i="1" s="1"/>
  <c r="O458" i="1"/>
  <c r="R458" i="1" s="1"/>
  <c r="M459" i="1"/>
  <c r="P459" i="1" s="1"/>
  <c r="O459" i="1"/>
  <c r="R459" i="1" s="1"/>
  <c r="J466" i="1"/>
  <c r="J467" i="1"/>
  <c r="M468" i="1"/>
  <c r="P468" i="1" s="1"/>
  <c r="O468" i="1"/>
  <c r="Q468" i="1"/>
  <c r="R468" i="1"/>
  <c r="J470" i="1"/>
  <c r="M470" i="1"/>
  <c r="O470" i="1"/>
  <c r="J471" i="1"/>
  <c r="P471" i="1" s="1"/>
  <c r="J473" i="1"/>
  <c r="P473" i="1" s="1"/>
  <c r="J474" i="1"/>
  <c r="P474" i="1" s="1"/>
  <c r="J475" i="1"/>
  <c r="P475" i="1" s="1"/>
  <c r="J478" i="1"/>
  <c r="P478" i="1" s="1"/>
  <c r="J485" i="1"/>
  <c r="P485" i="1" s="1"/>
  <c r="J486" i="1"/>
  <c r="J491" i="1"/>
  <c r="Q491" i="1" s="1"/>
  <c r="J492" i="1"/>
  <c r="J496" i="1"/>
  <c r="J497" i="1"/>
  <c r="J498" i="1"/>
  <c r="J502" i="1"/>
  <c r="J503" i="1"/>
  <c r="J504" i="1"/>
  <c r="P507" i="1"/>
  <c r="Q507" i="1"/>
  <c r="R507" i="1"/>
  <c r="J508" i="1"/>
  <c r="P508" i="1" s="1"/>
  <c r="P509" i="1"/>
  <c r="Q509" i="1"/>
  <c r="R509" i="1"/>
  <c r="J511" i="1"/>
  <c r="Q511" i="1" s="1"/>
  <c r="J512" i="1"/>
  <c r="J513" i="1"/>
  <c r="Q513" i="1" s="1"/>
  <c r="J514" i="1"/>
  <c r="J515" i="1"/>
  <c r="Q515" i="1" s="1"/>
  <c r="J517" i="1"/>
  <c r="J524" i="1"/>
  <c r="M524" i="1"/>
  <c r="O524" i="1"/>
  <c r="J525" i="1"/>
  <c r="Q525" i="1" s="1"/>
  <c r="M525" i="1"/>
  <c r="O525" i="1"/>
  <c r="J526" i="1"/>
  <c r="M526" i="1"/>
  <c r="O526" i="1"/>
  <c r="J527" i="1"/>
  <c r="Q527" i="1" s="1"/>
  <c r="M527" i="1"/>
  <c r="O527" i="1"/>
  <c r="J559" i="1"/>
  <c r="Q559" i="1" s="1"/>
  <c r="P581" i="1"/>
  <c r="Q581" i="1"/>
  <c r="R581" i="1"/>
  <c r="P582" i="1"/>
  <c r="Q582" i="1"/>
  <c r="R582" i="1"/>
  <c r="P583" i="1"/>
  <c r="Q583" i="1"/>
  <c r="R583" i="1"/>
  <c r="P584" i="1"/>
  <c r="Q584" i="1"/>
  <c r="R584" i="1"/>
  <c r="P585" i="1"/>
  <c r="Q585" i="1"/>
  <c r="R585" i="1"/>
  <c r="P586" i="1"/>
  <c r="Q586" i="1"/>
  <c r="R586" i="1"/>
  <c r="P587" i="1"/>
  <c r="Q587" i="1"/>
  <c r="R587" i="1"/>
  <c r="P588" i="1"/>
  <c r="Q588" i="1"/>
  <c r="R588" i="1"/>
  <c r="P589" i="1"/>
  <c r="Q589" i="1"/>
  <c r="R589" i="1"/>
  <c r="M592" i="1"/>
  <c r="P592" i="1" s="1"/>
  <c r="O592" i="1"/>
  <c r="R592" i="1" s="1"/>
  <c r="Q592" i="1"/>
  <c r="M593" i="1"/>
  <c r="P593" i="1" s="1"/>
  <c r="O593" i="1"/>
  <c r="R593" i="1" s="1"/>
  <c r="Q593" i="1"/>
  <c r="J594" i="1"/>
  <c r="P594" i="1" s="1"/>
  <c r="J595" i="1"/>
  <c r="P595" i="1" s="1"/>
  <c r="J597" i="1"/>
  <c r="P597" i="1" s="1"/>
  <c r="J598" i="1"/>
  <c r="P598" i="1" s="1"/>
  <c r="J599" i="1"/>
  <c r="P599" i="1" s="1"/>
  <c r="J600" i="1"/>
  <c r="P600" i="1" s="1"/>
  <c r="J603" i="1"/>
  <c r="P603" i="1" s="1"/>
  <c r="J604" i="1"/>
  <c r="Q604" i="1" s="1"/>
  <c r="J605" i="1"/>
  <c r="R605" i="1" s="1"/>
  <c r="J606" i="1"/>
  <c r="R606" i="1" s="1"/>
  <c r="J607" i="1"/>
  <c r="P607" i="1" s="1"/>
  <c r="J608" i="1"/>
  <c r="Q608" i="1" s="1"/>
  <c r="J609" i="1"/>
  <c r="R609" i="1" s="1"/>
  <c r="J610" i="1"/>
  <c r="R610" i="1" s="1"/>
  <c r="P611" i="1"/>
  <c r="Q611" i="1"/>
  <c r="R611" i="1"/>
  <c r="P612" i="1"/>
  <c r="Q612" i="1"/>
  <c r="R612" i="1"/>
  <c r="P613" i="1"/>
  <c r="Q613" i="1"/>
  <c r="R613" i="1"/>
  <c r="M615" i="1"/>
  <c r="P615" i="1" s="1"/>
  <c r="O615" i="1"/>
  <c r="R615" i="1" s="1"/>
  <c r="Q615" i="1"/>
  <c r="J616" i="1"/>
  <c r="P616" i="1" s="1"/>
  <c r="M616" i="1"/>
  <c r="O616" i="1"/>
  <c r="J618" i="1"/>
  <c r="Q618" i="1" s="1"/>
  <c r="M618" i="1"/>
  <c r="O618" i="1"/>
  <c r="J621" i="1"/>
  <c r="Q621" i="1" s="1"/>
  <c r="M621" i="1"/>
  <c r="O621" i="1"/>
  <c r="J622" i="1"/>
  <c r="R622" i="1" s="1"/>
  <c r="J623" i="1"/>
  <c r="R623" i="1" s="1"/>
  <c r="J625" i="1"/>
  <c r="R625" i="1" s="1"/>
  <c r="J626" i="1"/>
  <c r="R626" i="1" s="1"/>
  <c r="J627" i="1"/>
  <c r="R627" i="1" s="1"/>
  <c r="J628" i="1"/>
  <c r="R628" i="1" s="1"/>
  <c r="J629" i="1"/>
  <c r="R629" i="1" s="1"/>
  <c r="J658" i="1"/>
  <c r="R658" i="1" s="1"/>
  <c r="J659" i="1"/>
  <c r="R659" i="1" s="1"/>
  <c r="J660" i="1"/>
  <c r="Q660" i="1" s="1"/>
  <c r="M660" i="1"/>
  <c r="O660" i="1"/>
  <c r="R660" i="1" s="1"/>
  <c r="J668" i="1"/>
  <c r="P668" i="1" s="1"/>
  <c r="J669" i="1"/>
  <c r="P669" i="1" s="1"/>
  <c r="J670" i="1"/>
  <c r="P670" i="1" s="1"/>
  <c r="J671" i="1"/>
  <c r="P671" i="1" s="1"/>
  <c r="J672" i="1"/>
  <c r="P672" i="1" s="1"/>
  <c r="J673" i="1"/>
  <c r="P673" i="1" s="1"/>
  <c r="J674" i="1"/>
  <c r="Q674" i="1" s="1"/>
  <c r="M674" i="1"/>
  <c r="O674" i="1"/>
  <c r="J680" i="1"/>
  <c r="R680" i="1" s="1"/>
  <c r="J681" i="1"/>
  <c r="R681" i="1" s="1"/>
  <c r="J682" i="1"/>
  <c r="R682" i="1" s="1"/>
  <c r="J683" i="1"/>
  <c r="R683" i="1" s="1"/>
  <c r="Q683" i="1"/>
  <c r="J687" i="1"/>
  <c r="R687" i="1" s="1"/>
  <c r="J688" i="1"/>
  <c r="R688" i="1" s="1"/>
  <c r="J689" i="1"/>
  <c r="R689" i="1" s="1"/>
  <c r="J690" i="1"/>
  <c r="R690" i="1" s="1"/>
  <c r="M691" i="1"/>
  <c r="P691" i="1" s="1"/>
  <c r="O691" i="1"/>
  <c r="Q691" i="1"/>
  <c r="J692" i="1"/>
  <c r="Q692" i="1" s="1"/>
  <c r="M692" i="1"/>
  <c r="O692" i="1"/>
  <c r="J710" i="1"/>
  <c r="R710" i="1" s="1"/>
  <c r="Q710" i="1"/>
  <c r="J711" i="1"/>
  <c r="R711" i="1" s="1"/>
  <c r="J712" i="1"/>
  <c r="R712" i="1" s="1"/>
  <c r="J713" i="1"/>
  <c r="R713" i="1" s="1"/>
  <c r="J714" i="1"/>
  <c r="R714" i="1" s="1"/>
  <c r="J715" i="1"/>
  <c r="R715" i="1" s="1"/>
  <c r="J716" i="1"/>
  <c r="R716" i="1" s="1"/>
  <c r="J717" i="1"/>
  <c r="R717" i="1" s="1"/>
  <c r="J718" i="1"/>
  <c r="R718" i="1" s="1"/>
  <c r="J719" i="1"/>
  <c r="R719" i="1" s="1"/>
  <c r="J720" i="1"/>
  <c r="R720" i="1" s="1"/>
  <c r="J723" i="1"/>
  <c r="R723" i="1" s="1"/>
  <c r="J724" i="1"/>
  <c r="R724" i="1" s="1"/>
  <c r="J725" i="1"/>
  <c r="R725" i="1" s="1"/>
  <c r="J726" i="1"/>
  <c r="R726" i="1" s="1"/>
  <c r="J747" i="1"/>
  <c r="J748" i="1"/>
  <c r="J749" i="1"/>
  <c r="J750" i="1"/>
  <c r="J771" i="1"/>
  <c r="R771" i="1" s="1"/>
  <c r="J773" i="1"/>
  <c r="R773" i="1" s="1"/>
  <c r="J776" i="1"/>
  <c r="R776" i="1" s="1"/>
  <c r="J777" i="1"/>
  <c r="R777" i="1" s="1"/>
  <c r="J778" i="1"/>
  <c r="Q778" i="1" s="1"/>
  <c r="M778" i="1"/>
  <c r="O778" i="1"/>
  <c r="J779" i="1"/>
  <c r="Q779" i="1" s="1"/>
  <c r="M779" i="1"/>
  <c r="O779" i="1"/>
  <c r="J787" i="1"/>
  <c r="R787" i="1" s="1"/>
  <c r="J789" i="1"/>
  <c r="R789" i="1" s="1"/>
  <c r="J790" i="1"/>
  <c r="R790" i="1" s="1"/>
  <c r="J791" i="1"/>
  <c r="R791" i="1" s="1"/>
  <c r="J792" i="1"/>
  <c r="R792" i="1" s="1"/>
  <c r="J793" i="1"/>
  <c r="P793" i="1" s="1"/>
  <c r="Q793" i="1"/>
  <c r="J795" i="1"/>
  <c r="P795" i="1" s="1"/>
  <c r="J796" i="1"/>
  <c r="P796" i="1" s="1"/>
  <c r="J797" i="1"/>
  <c r="P797" i="1" s="1"/>
  <c r="R797" i="1"/>
  <c r="J798" i="1"/>
  <c r="R798" i="1" s="1"/>
  <c r="J799" i="1"/>
  <c r="M799" i="1"/>
  <c r="O799" i="1"/>
  <c r="J800" i="1"/>
  <c r="Q800" i="1" s="1"/>
  <c r="M800" i="1"/>
  <c r="O800" i="1"/>
  <c r="J801" i="1"/>
  <c r="Q801" i="1" s="1"/>
  <c r="M801" i="1"/>
  <c r="O801" i="1"/>
  <c r="J802" i="1"/>
  <c r="M802" i="1"/>
  <c r="O802" i="1"/>
  <c r="P17" i="1" l="1"/>
  <c r="P393" i="1"/>
  <c r="R348" i="1"/>
  <c r="R799" i="1"/>
  <c r="Q17" i="1"/>
  <c r="T17" i="1" s="1"/>
  <c r="H8" i="3"/>
  <c r="I8" i="3" s="1"/>
  <c r="M7" i="3"/>
  <c r="P283" i="1"/>
  <c r="R241" i="1"/>
  <c r="Q714" i="1"/>
  <c r="Q658" i="1"/>
  <c r="Q302" i="1"/>
  <c r="Q295" i="1"/>
  <c r="P242" i="1"/>
  <c r="P241" i="1"/>
  <c r="Q425" i="1"/>
  <c r="R231" i="1"/>
  <c r="Q226" i="1"/>
  <c r="Q200" i="1"/>
  <c r="R470" i="1"/>
  <c r="Q213" i="1"/>
  <c r="R139" i="1"/>
  <c r="Q773" i="1"/>
  <c r="Q623" i="1"/>
  <c r="Q606" i="1"/>
  <c r="Q346" i="1"/>
  <c r="Q236" i="1"/>
  <c r="Q230" i="1"/>
  <c r="P388" i="1"/>
  <c r="Q373" i="1"/>
  <c r="R299" i="1"/>
  <c r="Q789" i="1"/>
  <c r="Q724" i="1"/>
  <c r="P660" i="1"/>
  <c r="Q436" i="1"/>
  <c r="R426" i="1"/>
  <c r="R368" i="1"/>
  <c r="R336" i="1"/>
  <c r="Q291" i="1"/>
  <c r="R249" i="1"/>
  <c r="Q231" i="1"/>
  <c r="P230" i="1"/>
  <c r="R218" i="1"/>
  <c r="Q206" i="1"/>
  <c r="P200" i="1"/>
  <c r="R157" i="1"/>
  <c r="R156" i="1"/>
  <c r="R117" i="1"/>
  <c r="R18" i="1"/>
  <c r="P800" i="1"/>
  <c r="Q718" i="1"/>
  <c r="Q688" i="1"/>
  <c r="P604" i="1"/>
  <c r="P436" i="1"/>
  <c r="P426" i="1"/>
  <c r="R394" i="1"/>
  <c r="Q388" i="1"/>
  <c r="P368" i="1"/>
  <c r="P322" i="1"/>
  <c r="P291" i="1"/>
  <c r="R288" i="1"/>
  <c r="P277" i="1"/>
  <c r="P249" i="1"/>
  <c r="Q237" i="1"/>
  <c r="P235" i="1"/>
  <c r="Q232" i="1"/>
  <c r="P220" i="1"/>
  <c r="Q218" i="1"/>
  <c r="Q211" i="1"/>
  <c r="P156" i="1"/>
  <c r="Q18" i="1"/>
  <c r="S18" i="1" s="1"/>
  <c r="Q316" i="1"/>
  <c r="R801" i="1"/>
  <c r="P801" i="1"/>
  <c r="R796" i="1"/>
  <c r="Q791" i="1"/>
  <c r="Q726" i="1"/>
  <c r="Q716" i="1"/>
  <c r="P526" i="1"/>
  <c r="R508" i="1"/>
  <c r="R485" i="1"/>
  <c r="R478" i="1"/>
  <c r="R475" i="1"/>
  <c r="R474" i="1"/>
  <c r="R473" i="1"/>
  <c r="R471" i="1"/>
  <c r="Q470" i="1"/>
  <c r="P453" i="1"/>
  <c r="R441" i="1"/>
  <c r="Q439" i="1"/>
  <c r="P425" i="1"/>
  <c r="R400" i="1"/>
  <c r="R389" i="1"/>
  <c r="R379" i="1"/>
  <c r="R317" i="1"/>
  <c r="R292" i="1"/>
  <c r="Q202" i="1"/>
  <c r="P158" i="1"/>
  <c r="J87" i="1"/>
  <c r="P87" i="1" s="1"/>
  <c r="Q690" i="1"/>
  <c r="Q626" i="1"/>
  <c r="R525" i="1"/>
  <c r="Q508" i="1"/>
  <c r="Q485" i="1"/>
  <c r="Q478" i="1"/>
  <c r="Q475" i="1"/>
  <c r="Q474" i="1"/>
  <c r="Q473" i="1"/>
  <c r="Q471" i="1"/>
  <c r="R454" i="1"/>
  <c r="Q442" i="1"/>
  <c r="Q441" i="1"/>
  <c r="Q440" i="1"/>
  <c r="Q434" i="1"/>
  <c r="P369" i="1"/>
  <c r="R350" i="1"/>
  <c r="R318" i="1"/>
  <c r="Q317" i="1"/>
  <c r="R307" i="1"/>
  <c r="Q292" i="1"/>
  <c r="R152" i="1"/>
  <c r="R148" i="1"/>
  <c r="R32" i="1"/>
  <c r="Q796" i="1"/>
  <c r="Q797" i="1"/>
  <c r="Q777" i="1"/>
  <c r="Q720" i="1"/>
  <c r="Q712" i="1"/>
  <c r="Q681" i="1"/>
  <c r="Q628" i="1"/>
  <c r="R526" i="1"/>
  <c r="P454" i="1"/>
  <c r="Q447" i="1"/>
  <c r="P441" i="1"/>
  <c r="P434" i="1"/>
  <c r="R399" i="1"/>
  <c r="R396" i="1"/>
  <c r="R386" i="1"/>
  <c r="Q383" i="1"/>
  <c r="R380" i="1"/>
  <c r="Q378" i="1"/>
  <c r="R347" i="1"/>
  <c r="P325" i="1"/>
  <c r="P323" i="1"/>
  <c r="Q318" i="1"/>
  <c r="Q242" i="1"/>
  <c r="R237" i="1"/>
  <c r="Q233" i="1"/>
  <c r="R226" i="1"/>
  <c r="R220" i="1"/>
  <c r="Q210" i="1"/>
  <c r="P152" i="1"/>
  <c r="Q148" i="1"/>
  <c r="P138" i="1"/>
  <c r="P32" i="1"/>
  <c r="R802" i="1"/>
  <c r="P799" i="1"/>
  <c r="R779" i="1"/>
  <c r="R616" i="1"/>
  <c r="P524" i="1"/>
  <c r="P470" i="1"/>
  <c r="P451" i="1"/>
  <c r="P450" i="1"/>
  <c r="R335" i="1"/>
  <c r="R330" i="1"/>
  <c r="P326" i="1"/>
  <c r="R57" i="1"/>
  <c r="R778" i="1"/>
  <c r="Q799" i="1"/>
  <c r="Q798" i="1"/>
  <c r="Q792" i="1"/>
  <c r="Q790" i="1"/>
  <c r="Q787" i="1"/>
  <c r="P778" i="1"/>
  <c r="Q776" i="1"/>
  <c r="Q771" i="1"/>
  <c r="Q725" i="1"/>
  <c r="Q723" i="1"/>
  <c r="Q719" i="1"/>
  <c r="Q717" i="1"/>
  <c r="Q715" i="1"/>
  <c r="Q713" i="1"/>
  <c r="Q711" i="1"/>
  <c r="R608" i="1"/>
  <c r="Q450" i="1"/>
  <c r="R448" i="1"/>
  <c r="R429" i="1"/>
  <c r="Q398" i="1"/>
  <c r="P383" i="1"/>
  <c r="R362" i="1"/>
  <c r="R349" i="1"/>
  <c r="R342" i="1"/>
  <c r="R334" i="1"/>
  <c r="Q330" i="1"/>
  <c r="R324" i="1"/>
  <c r="R323" i="1"/>
  <c r="R322" i="1"/>
  <c r="R277" i="1"/>
  <c r="R235" i="1"/>
  <c r="P57" i="1"/>
  <c r="Q54" i="1"/>
  <c r="S54" i="1" s="1"/>
  <c r="Q51" i="1"/>
  <c r="S51" i="1" s="1"/>
  <c r="Q33" i="1"/>
  <c r="V33" i="1" s="1"/>
  <c r="Q19" i="1"/>
  <c r="Q689" i="1"/>
  <c r="Q687" i="1"/>
  <c r="Q682" i="1"/>
  <c r="Q680" i="1"/>
  <c r="Q659" i="1"/>
  <c r="Q629" i="1"/>
  <c r="Q627" i="1"/>
  <c r="Q625" i="1"/>
  <c r="Q622" i="1"/>
  <c r="P618" i="1"/>
  <c r="P608" i="1"/>
  <c r="R597" i="1"/>
  <c r="R453" i="1"/>
  <c r="R450" i="1"/>
  <c r="P448" i="1"/>
  <c r="P429" i="1"/>
  <c r="R402" i="1"/>
  <c r="P398" i="1"/>
  <c r="Q393" i="1"/>
  <c r="R391" i="1"/>
  <c r="R384" i="1"/>
  <c r="R374" i="1"/>
  <c r="R364" i="1"/>
  <c r="R344" i="1"/>
  <c r="Q342" i="1"/>
  <c r="P334" i="1"/>
  <c r="R329" i="1"/>
  <c r="R325" i="1"/>
  <c r="R316" i="1"/>
  <c r="R303" i="1"/>
  <c r="Q298" i="1"/>
  <c r="R295" i="1"/>
  <c r="R293" i="1"/>
  <c r="Q287" i="1"/>
  <c r="Q263" i="1"/>
  <c r="R233" i="1"/>
  <c r="R158" i="1"/>
  <c r="P51" i="1"/>
  <c r="Q802" i="1"/>
  <c r="R800" i="1"/>
  <c r="P798" i="1"/>
  <c r="R793" i="1"/>
  <c r="P779" i="1"/>
  <c r="R692" i="1"/>
  <c r="R691" i="1"/>
  <c r="R674" i="1"/>
  <c r="R621" i="1"/>
  <c r="R618" i="1"/>
  <c r="Q609" i="1"/>
  <c r="P606" i="1"/>
  <c r="R604" i="1"/>
  <c r="Q597" i="1"/>
  <c r="R594" i="1"/>
  <c r="R527" i="1"/>
  <c r="Q451" i="1"/>
  <c r="R442" i="1"/>
  <c r="P440" i="1"/>
  <c r="P439" i="1"/>
  <c r="R430" i="1"/>
  <c r="R420" i="1"/>
  <c r="R405" i="1"/>
  <c r="Q404" i="1"/>
  <c r="Q400" i="1"/>
  <c r="Q399" i="1"/>
  <c r="Q394" i="1"/>
  <c r="Q389" i="1"/>
  <c r="Q384" i="1"/>
  <c r="R381" i="1"/>
  <c r="Q380" i="1"/>
  <c r="Q379" i="1"/>
  <c r="R375" i="1"/>
  <c r="Q374" i="1"/>
  <c r="R370" i="1"/>
  <c r="Q366" i="1"/>
  <c r="P362" i="1"/>
  <c r="P350" i="1"/>
  <c r="P349" i="1"/>
  <c r="P348" i="1"/>
  <c r="P347" i="1"/>
  <c r="P336" i="1"/>
  <c r="R327" i="1"/>
  <c r="Q321" i="1"/>
  <c r="P314" i="1"/>
  <c r="R312" i="1"/>
  <c r="Q311" i="1"/>
  <c r="P310" i="1"/>
  <c r="Q308" i="1"/>
  <c r="P307" i="1"/>
  <c r="P303" i="1"/>
  <c r="Q300" i="1"/>
  <c r="P299" i="1"/>
  <c r="P288" i="1"/>
  <c r="Q284" i="1"/>
  <c r="R275" i="1"/>
  <c r="P272" i="1"/>
  <c r="P267" i="1"/>
  <c r="R262" i="1"/>
  <c r="R261" i="1"/>
  <c r="Q261" i="1"/>
  <c r="R257" i="1"/>
  <c r="Q257" i="1"/>
  <c r="R222" i="1"/>
  <c r="Q222" i="1"/>
  <c r="R207" i="1"/>
  <c r="Q207" i="1"/>
  <c r="P207" i="1"/>
  <c r="R188" i="1"/>
  <c r="Q188" i="1"/>
  <c r="P188" i="1"/>
  <c r="P93" i="1"/>
  <c r="P430" i="1"/>
  <c r="Q420" i="1"/>
  <c r="R417" i="1"/>
  <c r="Q411" i="1"/>
  <c r="R407" i="1"/>
  <c r="Q405" i="1"/>
  <c r="P404" i="1"/>
  <c r="Q381" i="1"/>
  <c r="Q375" i="1"/>
  <c r="Q370" i="1"/>
  <c r="Q367" i="1"/>
  <c r="P335" i="1"/>
  <c r="P329" i="1"/>
  <c r="P315" i="1"/>
  <c r="P311" i="1"/>
  <c r="P309" i="1"/>
  <c r="P301" i="1"/>
  <c r="P284" i="1"/>
  <c r="P275" i="1"/>
  <c r="P262" i="1"/>
  <c r="Q251" i="1"/>
  <c r="R251" i="1"/>
  <c r="Q224" i="1"/>
  <c r="P224" i="1"/>
  <c r="Q217" i="1"/>
  <c r="R203" i="1"/>
  <c r="Q203" i="1"/>
  <c r="P203" i="1"/>
  <c r="R199" i="1"/>
  <c r="Q199" i="1"/>
  <c r="Q145" i="1"/>
  <c r="P145" i="1"/>
  <c r="Q143" i="1"/>
  <c r="P143" i="1"/>
  <c r="Q141" i="1"/>
  <c r="P141" i="1"/>
  <c r="R137" i="1"/>
  <c r="Q137" i="1"/>
  <c r="R135" i="1"/>
  <c r="Q135" i="1"/>
  <c r="R133" i="1"/>
  <c r="Q133" i="1"/>
  <c r="R131" i="1"/>
  <c r="Q131" i="1"/>
  <c r="R124" i="1"/>
  <c r="Q124" i="1"/>
  <c r="R122" i="1"/>
  <c r="Q122" i="1"/>
  <c r="R120" i="1"/>
  <c r="Q120" i="1"/>
  <c r="R91" i="1"/>
  <c r="Q91" i="1"/>
  <c r="R89" i="1"/>
  <c r="Q89" i="1"/>
  <c r="R85" i="1"/>
  <c r="Q85" i="1"/>
  <c r="R83" i="1"/>
  <c r="Q83" i="1"/>
  <c r="R81" i="1"/>
  <c r="Q81" i="1"/>
  <c r="Q55" i="1"/>
  <c r="S55" i="1" s="1"/>
  <c r="P55" i="1"/>
  <c r="Q53" i="1"/>
  <c r="S53" i="1" s="1"/>
  <c r="R53" i="1"/>
  <c r="P46" i="1"/>
  <c r="Q46" i="1"/>
  <c r="Q41" i="1"/>
  <c r="U41" i="1" s="1"/>
  <c r="R41" i="1"/>
  <c r="R8" i="1"/>
  <c r="Q8" i="1"/>
  <c r="R795" i="1"/>
  <c r="Q594" i="1"/>
  <c r="R524" i="1"/>
  <c r="R451" i="1"/>
  <c r="P802" i="1"/>
  <c r="Q795" i="1"/>
  <c r="P692" i="1"/>
  <c r="P674" i="1"/>
  <c r="P621" i="1"/>
  <c r="Q610" i="1"/>
  <c r="Q605" i="1"/>
  <c r="R595" i="1"/>
  <c r="P442" i="1"/>
  <c r="R440" i="1"/>
  <c r="Q428" i="1"/>
  <c r="P427" i="1"/>
  <c r="Q421" i="1"/>
  <c r="P417" i="1"/>
  <c r="Q415" i="1"/>
  <c r="P397" i="1"/>
  <c r="P392" i="1"/>
  <c r="P387" i="1"/>
  <c r="P382" i="1"/>
  <c r="R376" i="1"/>
  <c r="R371" i="1"/>
  <c r="R258" i="1"/>
  <c r="Q258" i="1"/>
  <c r="R252" i="1"/>
  <c r="Q252" i="1"/>
  <c r="R209" i="1"/>
  <c r="P209" i="1"/>
  <c r="P147" i="1"/>
  <c r="R147" i="1"/>
  <c r="Q59" i="1"/>
  <c r="R59" i="1"/>
  <c r="P50" i="1"/>
  <c r="Q50" i="1"/>
  <c r="Q31" i="1"/>
  <c r="R31" i="1"/>
  <c r="P346" i="1"/>
  <c r="Q326" i="1"/>
  <c r="R319" i="1"/>
  <c r="R314" i="1"/>
  <c r="Q310" i="1"/>
  <c r="R308" i="1"/>
  <c r="R305" i="1"/>
  <c r="P302" i="1"/>
  <c r="R300" i="1"/>
  <c r="R296" i="1"/>
  <c r="P293" i="1"/>
  <c r="P287" i="1"/>
  <c r="R272" i="1"/>
  <c r="Q267" i="1"/>
  <c r="R266" i="1"/>
  <c r="Q266" i="1"/>
  <c r="P263" i="1"/>
  <c r="P261" i="1"/>
  <c r="P257" i="1"/>
  <c r="P250" i="1"/>
  <c r="R228" i="1"/>
  <c r="Q228" i="1"/>
  <c r="P225" i="1"/>
  <c r="Q225" i="1"/>
  <c r="P222" i="1"/>
  <c r="Q216" i="1"/>
  <c r="R216" i="1"/>
  <c r="P216" i="1"/>
  <c r="Q212" i="1"/>
  <c r="R205" i="1"/>
  <c r="P205" i="1"/>
  <c r="Q155" i="1"/>
  <c r="R155" i="1"/>
  <c r="P146" i="1"/>
  <c r="R146" i="1"/>
  <c r="Q146" i="1"/>
  <c r="Q144" i="1"/>
  <c r="P144" i="1"/>
  <c r="Q142" i="1"/>
  <c r="P142" i="1"/>
  <c r="Q140" i="1"/>
  <c r="P140" i="1"/>
  <c r="R136" i="1"/>
  <c r="Q136" i="1"/>
  <c r="R134" i="1"/>
  <c r="Q134" i="1"/>
  <c r="R132" i="1"/>
  <c r="Q132" i="1"/>
  <c r="R125" i="1"/>
  <c r="Q125" i="1"/>
  <c r="R123" i="1"/>
  <c r="Q123" i="1"/>
  <c r="R121" i="1"/>
  <c r="Q121" i="1"/>
  <c r="R118" i="1"/>
  <c r="Q118" i="1"/>
  <c r="R92" i="1"/>
  <c r="Q92" i="1"/>
  <c r="R90" i="1"/>
  <c r="Q90" i="1"/>
  <c r="R88" i="1"/>
  <c r="Q88" i="1"/>
  <c r="J86" i="1"/>
  <c r="R84" i="1"/>
  <c r="Q84" i="1"/>
  <c r="R82" i="1"/>
  <c r="Q82" i="1"/>
  <c r="R78" i="1"/>
  <c r="Q78" i="1"/>
  <c r="Q58" i="1"/>
  <c r="R58" i="1"/>
  <c r="P58" i="1"/>
  <c r="R34" i="1"/>
  <c r="Q34" i="1"/>
  <c r="Q22" i="1"/>
  <c r="P22" i="1"/>
  <c r="Q20" i="1"/>
  <c r="R250" i="1"/>
  <c r="P157" i="1"/>
  <c r="P139" i="1"/>
  <c r="R138" i="1"/>
  <c r="R93" i="1"/>
  <c r="Q227" i="1"/>
  <c r="Q221" i="1"/>
  <c r="Q616" i="1"/>
  <c r="R517" i="1"/>
  <c r="P517" i="1"/>
  <c r="R514" i="1"/>
  <c r="P514" i="1"/>
  <c r="R486" i="1"/>
  <c r="P486" i="1"/>
  <c r="P452" i="1"/>
  <c r="Q452" i="1"/>
  <c r="R452" i="1"/>
  <c r="P792" i="1"/>
  <c r="P791" i="1"/>
  <c r="P790" i="1"/>
  <c r="P789" i="1"/>
  <c r="P787" i="1"/>
  <c r="P777" i="1"/>
  <c r="P776" i="1"/>
  <c r="P773" i="1"/>
  <c r="P771" i="1"/>
  <c r="P726" i="1"/>
  <c r="P725" i="1"/>
  <c r="P724" i="1"/>
  <c r="P723" i="1"/>
  <c r="P720" i="1"/>
  <c r="P719" i="1"/>
  <c r="P718" i="1"/>
  <c r="P717" i="1"/>
  <c r="P716" i="1"/>
  <c r="P715" i="1"/>
  <c r="P714" i="1"/>
  <c r="P713" i="1"/>
  <c r="P712" i="1"/>
  <c r="P711" i="1"/>
  <c r="P710" i="1"/>
  <c r="P690" i="1"/>
  <c r="P689" i="1"/>
  <c r="P688" i="1"/>
  <c r="P687" i="1"/>
  <c r="P683" i="1"/>
  <c r="P682" i="1"/>
  <c r="P681" i="1"/>
  <c r="P680" i="1"/>
  <c r="R673" i="1"/>
  <c r="R672" i="1"/>
  <c r="R671" i="1"/>
  <c r="R670" i="1"/>
  <c r="R669" i="1"/>
  <c r="R668" i="1"/>
  <c r="P659" i="1"/>
  <c r="P658" i="1"/>
  <c r="P629" i="1"/>
  <c r="P628" i="1"/>
  <c r="P627" i="1"/>
  <c r="P626" i="1"/>
  <c r="P625" i="1"/>
  <c r="P623" i="1"/>
  <c r="P622" i="1"/>
  <c r="P610" i="1"/>
  <c r="P609" i="1"/>
  <c r="R607" i="1"/>
  <c r="P605" i="1"/>
  <c r="R603" i="1"/>
  <c r="R600" i="1"/>
  <c r="R599" i="1"/>
  <c r="R598" i="1"/>
  <c r="Q595" i="1"/>
  <c r="P527" i="1"/>
  <c r="P525" i="1"/>
  <c r="P424" i="1"/>
  <c r="Q424" i="1"/>
  <c r="R424" i="1"/>
  <c r="P418" i="1"/>
  <c r="Q418" i="1"/>
  <c r="R418" i="1"/>
  <c r="Q414" i="1"/>
  <c r="R414" i="1"/>
  <c r="R403" i="1"/>
  <c r="P403" i="1"/>
  <c r="Q403" i="1"/>
  <c r="R365" i="1"/>
  <c r="P365" i="1"/>
  <c r="Q365" i="1"/>
  <c r="P343" i="1"/>
  <c r="Q343" i="1"/>
  <c r="R343" i="1"/>
  <c r="R328" i="1"/>
  <c r="R512" i="1"/>
  <c r="P512" i="1"/>
  <c r="R492" i="1"/>
  <c r="P492" i="1"/>
  <c r="R229" i="1"/>
  <c r="P229" i="1"/>
  <c r="Q229" i="1"/>
  <c r="Q673" i="1"/>
  <c r="Q672" i="1"/>
  <c r="Q671" i="1"/>
  <c r="Q670" i="1"/>
  <c r="Q669" i="1"/>
  <c r="Q668" i="1"/>
  <c r="Q607" i="1"/>
  <c r="Q603" i="1"/>
  <c r="Q600" i="1"/>
  <c r="Q599" i="1"/>
  <c r="Q598" i="1"/>
  <c r="R559" i="1"/>
  <c r="P559" i="1"/>
  <c r="R515" i="1"/>
  <c r="P515" i="1"/>
  <c r="R513" i="1"/>
  <c r="P513" i="1"/>
  <c r="R511" i="1"/>
  <c r="P511" i="1"/>
  <c r="R491" i="1"/>
  <c r="P491" i="1"/>
  <c r="P467" i="1"/>
  <c r="Q467" i="1"/>
  <c r="R467" i="1"/>
  <c r="P433" i="1"/>
  <c r="Q433" i="1"/>
  <c r="R433" i="1"/>
  <c r="P423" i="1"/>
  <c r="Q423" i="1"/>
  <c r="R423" i="1"/>
  <c r="P413" i="1"/>
  <c r="Q413" i="1"/>
  <c r="R413" i="1"/>
  <c r="P401" i="1"/>
  <c r="Q401" i="1"/>
  <c r="R401" i="1"/>
  <c r="P395" i="1"/>
  <c r="Q395" i="1"/>
  <c r="R395" i="1"/>
  <c r="P390" i="1"/>
  <c r="Q390" i="1"/>
  <c r="R390" i="1"/>
  <c r="P385" i="1"/>
  <c r="Q385" i="1"/>
  <c r="R385" i="1"/>
  <c r="Q377" i="1"/>
  <c r="P377" i="1"/>
  <c r="R377" i="1"/>
  <c r="Q372" i="1"/>
  <c r="P372" i="1"/>
  <c r="R372" i="1"/>
  <c r="P363" i="1"/>
  <c r="Q363" i="1"/>
  <c r="R363" i="1"/>
  <c r="Q329" i="1"/>
  <c r="Q320" i="1"/>
  <c r="P320" i="1"/>
  <c r="R320" i="1"/>
  <c r="Q313" i="1"/>
  <c r="P313" i="1"/>
  <c r="R313" i="1"/>
  <c r="R306" i="1"/>
  <c r="P306" i="1"/>
  <c r="Q306" i="1"/>
  <c r="P289" i="1"/>
  <c r="Q289" i="1"/>
  <c r="R289" i="1"/>
  <c r="P278" i="1"/>
  <c r="Q278" i="1"/>
  <c r="R278" i="1"/>
  <c r="Q264" i="1"/>
  <c r="R264" i="1"/>
  <c r="P264" i="1"/>
  <c r="R345" i="1"/>
  <c r="P345" i="1"/>
  <c r="Q345" i="1"/>
  <c r="P268" i="1"/>
  <c r="Q268" i="1"/>
  <c r="R268" i="1"/>
  <c r="Q526" i="1"/>
  <c r="Q524" i="1"/>
  <c r="Q517" i="1"/>
  <c r="Q514" i="1"/>
  <c r="Q512" i="1"/>
  <c r="Q492" i="1"/>
  <c r="Q486" i="1"/>
  <c r="P466" i="1"/>
  <c r="Q466" i="1"/>
  <c r="R466" i="1"/>
  <c r="P431" i="1"/>
  <c r="Q431" i="1"/>
  <c r="R431" i="1"/>
  <c r="R427" i="1"/>
  <c r="P406" i="1"/>
  <c r="Q406" i="1"/>
  <c r="R406" i="1"/>
  <c r="P304" i="1"/>
  <c r="Q304" i="1"/>
  <c r="R304" i="1"/>
  <c r="Q297" i="1"/>
  <c r="P297" i="1"/>
  <c r="R297" i="1"/>
  <c r="P447" i="1"/>
  <c r="P428" i="1"/>
  <c r="P421" i="1"/>
  <c r="P416" i="1"/>
  <c r="P415" i="1"/>
  <c r="P407" i="1"/>
  <c r="P402" i="1"/>
  <c r="R397" i="1"/>
  <c r="P396" i="1"/>
  <c r="R392" i="1"/>
  <c r="P391" i="1"/>
  <c r="R387" i="1"/>
  <c r="P386" i="1"/>
  <c r="R382" i="1"/>
  <c r="P378" i="1"/>
  <c r="Q376" i="1"/>
  <c r="P373" i="1"/>
  <c r="Q371" i="1"/>
  <c r="Q369" i="1"/>
  <c r="R367" i="1"/>
  <c r="P364" i="1"/>
  <c r="P344" i="1"/>
  <c r="R326" i="1"/>
  <c r="P321" i="1"/>
  <c r="Q319" i="1"/>
  <c r="Q315" i="1"/>
  <c r="Q312" i="1"/>
  <c r="P305" i="1"/>
  <c r="R301" i="1"/>
  <c r="P298" i="1"/>
  <c r="Q296" i="1"/>
  <c r="Q294" i="1"/>
  <c r="Q282" i="1"/>
  <c r="R282" i="1"/>
  <c r="P251" i="1"/>
  <c r="R234" i="1"/>
  <c r="P234" i="1"/>
  <c r="Q234" i="1"/>
  <c r="R223" i="1"/>
  <c r="P223" i="1"/>
  <c r="Q223" i="1"/>
  <c r="P294" i="1"/>
  <c r="Q286" i="1"/>
  <c r="R286" i="1"/>
  <c r="Q281" i="1"/>
  <c r="P276" i="1"/>
  <c r="Q276" i="1"/>
  <c r="Q265" i="1"/>
  <c r="R265" i="1"/>
  <c r="R208" i="1"/>
  <c r="P208" i="1"/>
  <c r="Q208" i="1"/>
  <c r="R204" i="1"/>
  <c r="P204" i="1"/>
  <c r="Q204" i="1"/>
  <c r="P328" i="1"/>
  <c r="R309" i="1"/>
  <c r="Q290" i="1"/>
  <c r="R290" i="1"/>
  <c r="P285" i="1"/>
  <c r="Q285" i="1"/>
  <c r="R219" i="1"/>
  <c r="P219" i="1"/>
  <c r="Q219" i="1"/>
  <c r="R236" i="1"/>
  <c r="R232" i="1"/>
  <c r="R227" i="1"/>
  <c r="R225" i="1"/>
  <c r="R221" i="1"/>
  <c r="R217" i="1"/>
  <c r="R213" i="1"/>
  <c r="R212" i="1"/>
  <c r="R211" i="1"/>
  <c r="Q209" i="1"/>
  <c r="Q205" i="1"/>
  <c r="Q201" i="1"/>
  <c r="R161" i="1"/>
  <c r="R153" i="1"/>
  <c r="R149" i="1"/>
  <c r="R116" i="1"/>
  <c r="Q116" i="1"/>
  <c r="R108" i="1"/>
  <c r="Q108" i="1"/>
  <c r="R106" i="1"/>
  <c r="Q106" i="1"/>
  <c r="R104" i="1"/>
  <c r="Q104" i="1"/>
  <c r="R102" i="1"/>
  <c r="Q102" i="1"/>
  <c r="R100" i="1"/>
  <c r="Q100" i="1"/>
  <c r="R98" i="1"/>
  <c r="Q98" i="1"/>
  <c r="R96" i="1"/>
  <c r="Q96" i="1"/>
  <c r="R94" i="1"/>
  <c r="Q94" i="1"/>
  <c r="R52" i="1"/>
  <c r="P52" i="1"/>
  <c r="Q52" i="1"/>
  <c r="S52" i="1" s="1"/>
  <c r="P201" i="1"/>
  <c r="P161" i="1"/>
  <c r="R154" i="1"/>
  <c r="P153" i="1"/>
  <c r="R150" i="1"/>
  <c r="Q149" i="1"/>
  <c r="P117" i="1"/>
  <c r="R56" i="1"/>
  <c r="P56" i="1"/>
  <c r="Q56" i="1"/>
  <c r="S56" i="1" s="1"/>
  <c r="R40" i="1"/>
  <c r="P40" i="1"/>
  <c r="Q40" i="1"/>
  <c r="P210" i="1"/>
  <c r="P206" i="1"/>
  <c r="P202" i="1"/>
  <c r="P154" i="1"/>
  <c r="Q150" i="1"/>
  <c r="R109" i="1"/>
  <c r="Q109" i="1"/>
  <c r="R107" i="1"/>
  <c r="Q107" i="1"/>
  <c r="R105" i="1"/>
  <c r="Q105" i="1"/>
  <c r="R103" i="1"/>
  <c r="Q103" i="1"/>
  <c r="R101" i="1"/>
  <c r="Q101" i="1"/>
  <c r="R99" i="1"/>
  <c r="Q99" i="1"/>
  <c r="R97" i="1"/>
  <c r="Q97" i="1"/>
  <c r="R95" i="1"/>
  <c r="Q95" i="1"/>
  <c r="R54" i="1"/>
  <c r="R50" i="1"/>
  <c r="R47" i="1"/>
  <c r="R46" i="1"/>
  <c r="R45" i="1"/>
  <c r="R33" i="1"/>
  <c r="R20" i="1"/>
  <c r="R19" i="1"/>
  <c r="Q87" i="1" l="1"/>
  <c r="R87" i="1"/>
  <c r="H9" i="3"/>
  <c r="I9" i="3" s="1"/>
  <c r="M8" i="3"/>
  <c r="R86" i="1"/>
  <c r="Q86" i="1"/>
  <c r="P86" i="1"/>
  <c r="Q419" i="1"/>
  <c r="R419" i="1"/>
  <c r="P419" i="1"/>
  <c r="H10" i="3" l="1"/>
  <c r="I10" i="3" s="1"/>
  <c r="M9" i="3"/>
  <c r="H11" i="3" l="1"/>
  <c r="I11" i="3" s="1"/>
  <c r="M10" i="3"/>
  <c r="H12" i="3" l="1"/>
  <c r="I12" i="3" s="1"/>
  <c r="M11" i="3"/>
  <c r="H13" i="3" l="1"/>
  <c r="I13" i="3" s="1"/>
  <c r="M12" i="3"/>
  <c r="H14" i="3" l="1"/>
  <c r="I14" i="3" s="1"/>
  <c r="M13" i="3"/>
  <c r="H15" i="3" l="1"/>
  <c r="I15" i="3" s="1"/>
  <c r="M14" i="3"/>
  <c r="H16" i="3" l="1"/>
  <c r="I16" i="3" s="1"/>
  <c r="M15" i="3"/>
  <c r="H17" i="3" l="1"/>
  <c r="I17" i="3" s="1"/>
  <c r="M16" i="3"/>
  <c r="H18" i="3" l="1"/>
  <c r="I18" i="3" s="1"/>
  <c r="M17" i="3"/>
  <c r="H19" i="3" l="1"/>
  <c r="I19" i="3" s="1"/>
  <c r="M18" i="3"/>
  <c r="H20" i="3" l="1"/>
  <c r="I20" i="3" s="1"/>
  <c r="M19" i="3"/>
  <c r="H21" i="3" l="1"/>
  <c r="I21" i="3" s="1"/>
  <c r="M20" i="3"/>
  <c r="H22" i="3" l="1"/>
  <c r="I22" i="3" s="1"/>
  <c r="M21" i="3"/>
  <c r="H23" i="3" l="1"/>
  <c r="I23" i="3" s="1"/>
  <c r="M22" i="3"/>
  <c r="H24" i="3" l="1"/>
  <c r="I24" i="3" s="1"/>
  <c r="M23" i="3"/>
  <c r="H25" i="3" l="1"/>
  <c r="I25" i="3" s="1"/>
  <c r="M24" i="3"/>
  <c r="H26" i="3" l="1"/>
  <c r="I26" i="3" s="1"/>
  <c r="M25" i="3"/>
  <c r="H27" i="3" l="1"/>
  <c r="I27" i="3" s="1"/>
  <c r="M26" i="3"/>
  <c r="H28" i="3" l="1"/>
  <c r="I28" i="3" s="1"/>
  <c r="M27" i="3"/>
  <c r="H29" i="3" l="1"/>
  <c r="I29" i="3" s="1"/>
  <c r="M28" i="3"/>
  <c r="H30" i="3" l="1"/>
  <c r="I30" i="3" s="1"/>
  <c r="M29" i="3"/>
  <c r="H31" i="3" l="1"/>
  <c r="I31" i="3" s="1"/>
  <c r="M30" i="3"/>
  <c r="H32" i="3" l="1"/>
  <c r="I32" i="3" s="1"/>
  <c r="M31" i="3"/>
  <c r="H33" i="3" l="1"/>
  <c r="I33" i="3" s="1"/>
  <c r="M32" i="3"/>
  <c r="H34" i="3" l="1"/>
  <c r="I34" i="3" s="1"/>
  <c r="M33" i="3"/>
  <c r="H35" i="3" l="1"/>
  <c r="I35" i="3" s="1"/>
  <c r="M34" i="3"/>
  <c r="H36" i="3" l="1"/>
  <c r="I36" i="3" s="1"/>
  <c r="M35" i="3"/>
  <c r="H37" i="3" l="1"/>
  <c r="I37" i="3" s="1"/>
  <c r="M36" i="3"/>
  <c r="H38" i="3" l="1"/>
  <c r="I38" i="3" s="1"/>
  <c r="M37" i="3"/>
  <c r="H39" i="3" l="1"/>
  <c r="I39" i="3" s="1"/>
  <c r="M38" i="3"/>
  <c r="H40" i="3" l="1"/>
  <c r="I40" i="3" s="1"/>
  <c r="M39" i="3"/>
  <c r="H41" i="3" l="1"/>
  <c r="I41" i="3" s="1"/>
  <c r="M40" i="3"/>
  <c r="H42" i="3" l="1"/>
  <c r="I42" i="3" s="1"/>
  <c r="M41" i="3"/>
  <c r="H43" i="3" l="1"/>
  <c r="I43" i="3" s="1"/>
  <c r="M42" i="3"/>
  <c r="H44" i="3" l="1"/>
  <c r="I44" i="3" s="1"/>
  <c r="M43" i="3"/>
  <c r="H45" i="3" l="1"/>
  <c r="I45" i="3" s="1"/>
  <c r="M44" i="3"/>
  <c r="H46" i="3" l="1"/>
  <c r="I46" i="3" s="1"/>
  <c r="M45" i="3"/>
  <c r="H47" i="3" l="1"/>
  <c r="I47" i="3" s="1"/>
  <c r="M46" i="3"/>
  <c r="H48" i="3" l="1"/>
  <c r="I48" i="3" s="1"/>
  <c r="M47" i="3"/>
  <c r="H49" i="3" l="1"/>
  <c r="I49" i="3" s="1"/>
  <c r="M48" i="3"/>
  <c r="H50" i="3" l="1"/>
  <c r="I50" i="3" s="1"/>
  <c r="M49" i="3"/>
  <c r="H51" i="3" l="1"/>
  <c r="I51" i="3" s="1"/>
  <c r="M50" i="3"/>
  <c r="H52" i="3" l="1"/>
  <c r="I52" i="3" s="1"/>
  <c r="M51" i="3"/>
  <c r="H53" i="3" l="1"/>
  <c r="I53" i="3" s="1"/>
  <c r="M52" i="3"/>
  <c r="H54" i="3" l="1"/>
  <c r="I54" i="3" s="1"/>
  <c r="M53" i="3"/>
  <c r="H55" i="3" l="1"/>
  <c r="I55" i="3" s="1"/>
  <c r="M54" i="3"/>
  <c r="H56" i="3" l="1"/>
  <c r="I56" i="3" s="1"/>
  <c r="M55" i="3"/>
  <c r="H57" i="3" l="1"/>
  <c r="I57" i="3" s="1"/>
  <c r="M56" i="3"/>
  <c r="H58" i="3" l="1"/>
  <c r="I58" i="3" s="1"/>
  <c r="M57" i="3"/>
  <c r="H59" i="3" l="1"/>
  <c r="I59" i="3" s="1"/>
  <c r="M58" i="3"/>
  <c r="H60" i="3" l="1"/>
  <c r="I60" i="3" s="1"/>
  <c r="M59" i="3"/>
  <c r="H61" i="3" l="1"/>
  <c r="M60" i="3"/>
  <c r="I61" i="3" l="1"/>
  <c r="M61" i="3" s="1"/>
  <c r="N3" i="3" s="1"/>
</calcChain>
</file>

<file path=xl/sharedStrings.xml><?xml version="1.0" encoding="utf-8"?>
<sst xmlns="http://schemas.openxmlformats.org/spreadsheetml/2006/main" count="6836" uniqueCount="945">
  <si>
    <t>Description</t>
  </si>
  <si>
    <t>Qty</t>
  </si>
  <si>
    <t>Unit</t>
  </si>
  <si>
    <t>Rate</t>
  </si>
  <si>
    <t>£ p</t>
  </si>
  <si>
    <t/>
  </si>
  <si>
    <t>A</t>
  </si>
  <si>
    <t>ITEM</t>
  </si>
  <si>
    <t>generally</t>
  </si>
  <si>
    <t>B</t>
  </si>
  <si>
    <t>C</t>
  </si>
  <si>
    <t>D</t>
  </si>
  <si>
    <t>E</t>
  </si>
  <si>
    <t>F</t>
  </si>
  <si>
    <t>G</t>
  </si>
  <si>
    <t>H</t>
  </si>
  <si>
    <t>I</t>
  </si>
  <si>
    <t>J</t>
  </si>
  <si>
    <t>K</t>
  </si>
  <si>
    <t>L</t>
  </si>
  <si>
    <t>M</t>
  </si>
  <si>
    <t>N</t>
  </si>
  <si>
    <t>O</t>
  </si>
  <si>
    <t>P</t>
  </si>
  <si>
    <t>Q</t>
  </si>
  <si>
    <t>R</t>
  </si>
  <si>
    <t>S</t>
  </si>
  <si>
    <t>T</t>
  </si>
  <si>
    <t>U</t>
  </si>
  <si>
    <t>V</t>
  </si>
  <si>
    <t>W</t>
  </si>
  <si>
    <t>X</t>
  </si>
  <si>
    <t>Subcontractor personnel transport and materials transport</t>
  </si>
  <si>
    <t>m3</t>
  </si>
  <si>
    <t>m</t>
  </si>
  <si>
    <t>m2</t>
  </si>
  <si>
    <t>Nr</t>
  </si>
  <si>
    <t>Included</t>
  </si>
  <si>
    <t>Dense aggregate blockwork; 7.3N/mm2 nominally 100mm thick; in cement mortar; stretcher bond; laid flat</t>
  </si>
  <si>
    <t>Straps; assumed to be galvanised mild steel; fixed to timber and masonry</t>
  </si>
  <si>
    <t>100mm thick; in party walls</t>
  </si>
  <si>
    <t>deflection heads; nominally 15mm allowance</t>
  </si>
  <si>
    <t>provision of plywood linings between stud framing to accept heavy fixings, future equipment and the like</t>
  </si>
  <si>
    <t>installation of approved acoustic insulation between studs assumed to be Isover 50mm thick</t>
  </si>
  <si>
    <t>forming opening for single leaf floors</t>
  </si>
  <si>
    <t>forming opening for pairs of doors</t>
  </si>
  <si>
    <t>forming opening for wardrobe doors</t>
  </si>
  <si>
    <t>sliderobe door to plot 1 and 2; 2Nr sliding leaves within structural opening of 1828.8 x 2375mm; reference ID23</t>
  </si>
  <si>
    <t>sliderobe door to plot 1 and 2; 2Nr sliding leaves within structural opening of 1440 x 2375mm; reference ID24, ID25</t>
  </si>
  <si>
    <t>sliderobe door to plot 3 and 4; 2Nr sliding leaves within structural opening of 2435 x 2375mm; reference ID25, ID26</t>
  </si>
  <si>
    <t>sliderobe door to plot 5,6,7,8 and 9; 2Nr sliding leaves within structural opening of 1828.8 x 2000mm; reference ID40, ID41</t>
  </si>
  <si>
    <t>sliderobe door to plot 10; 2Nr sliding leaves within structural opening of 1825 x 2025mm; reference ID10</t>
  </si>
  <si>
    <t>thin angle bead</t>
  </si>
  <si>
    <t>2000 gauge DPM</t>
  </si>
  <si>
    <t>generally; wood to carpet; to match wood flooring</t>
  </si>
  <si>
    <t>generally; wood to tile; to match wood flooring</t>
  </si>
  <si>
    <t>generally; wood to wood; to match wood flooring</t>
  </si>
  <si>
    <t>generally; carpet to tile; metal in gold or silver</t>
  </si>
  <si>
    <t>generally; assumed to be 1Nr per apartment</t>
  </si>
  <si>
    <t>space for oven</t>
  </si>
  <si>
    <t>space for fridge freezer</t>
  </si>
  <si>
    <t>attendance on the installation of the above ground drainage</t>
  </si>
  <si>
    <t>special attendance on the installation of the above ground drainage</t>
  </si>
  <si>
    <t>attendance on the Mechanical Installation contractor</t>
  </si>
  <si>
    <t>special attendance on the Mechanical Installation contractor</t>
  </si>
  <si>
    <t>attendance on the Electrical Installation contractor</t>
  </si>
  <si>
    <t>special attendance on the Electrical Installation contractor</t>
  </si>
  <si>
    <t>Declined</t>
  </si>
  <si>
    <t>allow for testing on completion and provide test certificate</t>
  </si>
  <si>
    <t>allow for commissioning on completion</t>
  </si>
  <si>
    <t>provide number of copies as detailed in the Employers Requirements</t>
  </si>
  <si>
    <t>Lighting to lift shaft</t>
  </si>
  <si>
    <t>Ventilation to top of shaft, provision of suitable external louvre or vent, complete with ducting as may be required</t>
  </si>
  <si>
    <t>Installation and fixing in of Halfen or similar slot channels to accept lift framework</t>
  </si>
  <si>
    <t>Installation or secondary steelwork / timber to allow for installation of lift framework to upper levels</t>
  </si>
  <si>
    <t>Painting within passenger lift shaft with sealer and one coat white masonry paint as required</t>
  </si>
  <si>
    <t>N/A</t>
  </si>
  <si>
    <t>Shrub and hedge planting</t>
  </si>
  <si>
    <t>rock</t>
  </si>
  <si>
    <t>concrete</t>
  </si>
  <si>
    <t>reinforced concrete</t>
  </si>
  <si>
    <t>brickwork, blockwork or stonework</t>
  </si>
  <si>
    <t>excavating soft spots; disposal of surplus material and filling with approved fill to formation level of trench - to be priced as rate only per cubic metre</t>
  </si>
  <si>
    <t>next existing service - to be priced as rate only per metre</t>
  </si>
  <si>
    <t>around existing service crossing excavation - to be priced as rate only per crossing</t>
  </si>
  <si>
    <t>works to existing manhole; remove exit pipes and install new 225mm pipe; manhole construction unknown; assumed to be masonry, depth to invert not exceeding 1000mm</t>
  </si>
  <si>
    <t>works to existing manhole; remove exit pipes and install new 225mm pipe; manhole construction unknown; assumed to be masonry, depth to invert not exceeding 2000mm</t>
  </si>
  <si>
    <t>works to existing pipework, at location of existing manhole, connect existing entry pipework to new pipework for manhole to be abandoned and removed; pipe nominally 2.00m to invert, existing 225mm diameter pipe</t>
  </si>
  <si>
    <t>manhole not exceeding 750mm deep</t>
  </si>
  <si>
    <t>manhole not exceeding 1000mm deep</t>
  </si>
  <si>
    <t>Y</t>
  </si>
  <si>
    <t>manhole not exceeding 1250mm deep</t>
  </si>
  <si>
    <t>manhole not exceeding 1500mm deep</t>
  </si>
  <si>
    <t>manhole not exceeding 1750mm deep                         3.00 Nr</t>
  </si>
  <si>
    <t>to the site area and surrounding</t>
  </si>
  <si>
    <t>Lifespan</t>
  </si>
  <si>
    <t>Ground Heave is the expansion of soil, typically caused by an increase in moisture content. The Cordek range of ground heave solutions are designed to protect floor slabs, ground beams and pile caps from the effects associated with expansive soil types.</t>
  </si>
  <si>
    <t>Steal beam?</t>
  </si>
  <si>
    <t>Steel beam</t>
  </si>
  <si>
    <t>stairs structure: concrete</t>
  </si>
  <si>
    <t>putty油灰 pads to partitions; allowance only</t>
  </si>
  <si>
    <t>Visqueen 1000gauge厚度／直径 DPM separating membrane</t>
  </si>
  <si>
    <t>Used electrical circuit</t>
  </si>
  <si>
    <t>steel fencing</t>
  </si>
  <si>
    <t>personal estimation</t>
  </si>
  <si>
    <t>flexible tile vinyl</t>
  </si>
  <si>
    <t>Volume/area</t>
  </si>
  <si>
    <t>Density kg/m3</t>
  </si>
  <si>
    <t>soil</t>
  </si>
  <si>
    <t>EE (MJ/Kg)</t>
  </si>
  <si>
    <t>E (MJ)</t>
  </si>
  <si>
    <t>Note</t>
  </si>
  <si>
    <t>Soil compaction depth is 20cm</t>
  </si>
  <si>
    <t>Reinforced concrete RC 25/30</t>
  </si>
  <si>
    <t>sand and gravel, crushed stone or quarry rock, slag</t>
  </si>
  <si>
    <t>sand</t>
  </si>
  <si>
    <t>20cm depth</t>
  </si>
  <si>
    <t>Height using 75mm</t>
  </si>
  <si>
    <t>Height  using 12m</t>
  </si>
  <si>
    <t>natural gravels, clean-crushed concrete, crushed hard rock</t>
  </si>
  <si>
    <t>Gen 1 concrete</t>
  </si>
  <si>
    <t>hollow medweight</t>
  </si>
  <si>
    <t xml:space="preserve">Gen 3 concrete </t>
  </si>
  <si>
    <t>RC 25/30 concrete</t>
  </si>
  <si>
    <t xml:space="preserve">Gen 1 </t>
  </si>
  <si>
    <t>Expanded Polystyrene</t>
  </si>
  <si>
    <t>density range of 11 to 32 kg/m3</t>
  </si>
  <si>
    <t>Finishing screed, made of sharp sand and cement, similarly to concrete. depth 200mm</t>
  </si>
  <si>
    <t>Cement screed</t>
  </si>
  <si>
    <t>Formwork can be timber, steel, glass fibre reinforced plastic,</t>
  </si>
  <si>
    <t>timber, 100mm depth</t>
  </si>
  <si>
    <t>timber, 50mm depth</t>
  </si>
  <si>
    <t>concrete precast</t>
  </si>
  <si>
    <t>dense</t>
  </si>
  <si>
    <t>cement mortar</t>
  </si>
  <si>
    <t>half brick thick is 102.5mm</t>
  </si>
  <si>
    <t>aerated, cellular</t>
  </si>
  <si>
    <t>softwood for density</t>
  </si>
  <si>
    <t>88*1.6</t>
  </si>
  <si>
    <t>https://iglintels.com/product/l1s-100/</t>
  </si>
  <si>
    <t>85*2.0</t>
  </si>
  <si>
    <t>107*2.0</t>
  </si>
  <si>
    <t>Steel</t>
  </si>
  <si>
    <t>150*2.0</t>
  </si>
  <si>
    <t>162*2.6</t>
  </si>
  <si>
    <t>171*2.6</t>
  </si>
  <si>
    <t>pvc</t>
  </si>
  <si>
    <t>Excavating To reduce levels no details - Provisional Quantity</t>
  </si>
  <si>
    <t>Disposal Excavated material off site; it has been assumed all excavated material to be taken off site; inert non hazardous - Provisional Quantity</t>
  </si>
  <si>
    <t>Disposal Excavated material on site; in stock piles suitable for reuse</t>
  </si>
  <si>
    <t>Selected excavated materia Filling to make up levels; compacting in layers over 250mm average thick</t>
  </si>
  <si>
    <t>Surface Treatments Compacting ground generally</t>
  </si>
  <si>
    <t>Surface water; including the treatment of the water to remove all sediment; pollutants and the like before leaving the site perimeters, off site</t>
  </si>
  <si>
    <t>Excavating Ground beams; from formation level, not exceeding 1.00m deep</t>
  </si>
  <si>
    <t>Pits, pad foundations 1 nr; from formation level 1.00m maximum depth</t>
  </si>
  <si>
    <t>Working space allowance; complete with backfilling with approved well compacted material; including all design, maintenance and removal as required pits</t>
  </si>
  <si>
    <t>Working space allowance; complete with backfilling with approved well compacted material; including all design, maintenance and removal as required trenches</t>
  </si>
  <si>
    <t>Earthwork support To faces of excavation; including all additional backfilling with well compacted granular material, making good as required, designed, supplied and installed, maintained and removed by specialist Sub Contractor 1.00m maximum depth; distance between opposing faces not exceeding 2.00m</t>
  </si>
  <si>
    <t>Earthwork support To faces of excavation; including all additional backfilling with well compacted granular material, making good as required, designed, supplied and installed, maintained and removed by specialist Sub Contractor 1.00m maximum depth; distance between opposing faces 2.00 to 4.00m</t>
  </si>
  <si>
    <t>Disposal Excavated material off site; it has been assumed all excavated material to be taken off site; to be treated as inert hazardous material</t>
  </si>
  <si>
    <t>Compacting bottoms of excavations generally</t>
  </si>
  <si>
    <t>Bored cast-in-place piles to site generally; in various locations; deemed to include the transport to site and from site of all plant, materials and equipment required for the piling operations; all plant movements on site; all setting out; concrete, reinforcement and formwork; all ancillary piling operations required to satisfy the piling design; designed and installed by specialist Sub Contractor  generally 300mm diameter</t>
  </si>
  <si>
    <t>Cutting off tops of piles; Heights to be developed by contractor as to construction methods on site 300mm diameter piles; cutting length to be developed by contractor; below top of pilemat</t>
  </si>
  <si>
    <t>Disposal Surplus excavated material; based on piles to be 12.00m deep; material taken to be inert non hazardous disposal off site</t>
  </si>
  <si>
    <t>Piling mat; designed to suit the piling rig(s) for the project; provide, lay and level (note area measured allows for the full site area); Contractor to to note: the pilemat is the same size as the building footprint; no allowance has been made for any additional pilemat beyond the building footprint; Contractor to note: Make allowance for excavation for the pilemat, removal of soil and import of suitable pilemat material - Top of concrete foundations is formation level for excavation based on marked up drawing, taken to be nominally 600mm thick; assumed to be constructed using imported approved well compacted granular material; compaction to engineers requirements; top of pile mat taken to be 600mm above top of pile caps</t>
  </si>
  <si>
    <t>Disposal of piling mat on completion of the piling operations; it is assumed that the pilemat is to be removed completely; and making allowance for compacting and preparing for new works generally</t>
  </si>
  <si>
    <t>General attendances on the piling Sub Contractor as required</t>
  </si>
  <si>
    <t>Special attendances on the piling Sub Contractor as required</t>
  </si>
  <si>
    <t>Plain concrete grade Gen 1 Blinding concrete not exceeding 150mm thick</t>
  </si>
  <si>
    <t>Filling to hollow walls not exceeding 150mm thick</t>
  </si>
  <si>
    <t>Plain concrete grade Gen 3 Mass fill concrete generally</t>
  </si>
  <si>
    <t>Reinforced concrete grade FND2z Foundations generally</t>
  </si>
  <si>
    <t>Isolated foundations generally</t>
  </si>
  <si>
    <t>E20 FORMWORK FOR IN SITU CONCRETE Formwork, basic finish Sides of ground beams and edges of beds not exceeding 250mm high</t>
  </si>
  <si>
    <t>E20 FORMWORK FOR IN SITU CONCRETE Formwork, Sides of ground beams and edges of beds basic finish 500 to 1000mm high</t>
  </si>
  <si>
    <t>Claymaster board; 50mm thick to sides of foundations, 500 to 1000mm high</t>
  </si>
  <si>
    <t>Cordek Cellcore HXB 18/24 heave protection to underside of foundations</t>
  </si>
  <si>
    <t>E30 REINFORCEMENT FOR IN SITU CONCRETE High tensile steel deformed square bar reinforcement to B.S.4449 grade 460; bars H10</t>
  </si>
  <si>
    <t>E30 REINFORCEMENT FOR IN SITU CONCRETE High tensile steel deformed square bar reinforcement to B.S.4449 grade 460; bars H12</t>
  </si>
  <si>
    <t>E30 REINFORCEMENT FOR IN SITU CONCRETE High tensile steel deformed square bar reinforcement to B.S.4449 grade 460; bars H16</t>
  </si>
  <si>
    <t xml:space="preserve"> E30 REINFORCEMENT FOR IN SITU CONCRETE High tensile steel deformed square bar reinforcement to B.S.4449 grade 460; bars H20</t>
  </si>
  <si>
    <t>E30 REINFORCEMENT FOR IN SITU CONCRETE High tensile steel deformed square bar reinforcement to B.S.4449 grade 460; bars H25</t>
  </si>
  <si>
    <t>E41 WORKED FINISHES/CUTTING TO IN SITU CONCRETE, Power floating,  generally</t>
  </si>
  <si>
    <t>RMC pre cast concrete beam and dense aggregate block floor; including all grouting joints, straps, infills and the like, designed, manufactured and installed by specialist Sub Contractor; laid on blockwork sleeper walls, nominally 150mm thick</t>
  </si>
  <si>
    <t>RMC pre cast concrete beam and dense aggregate block floor; including all grouting joints, straps, infills and the like, designed, manufactured and installed by specialist Sub Contractor; laid on blockwork sleeper walls, holes for services and drainage</t>
  </si>
  <si>
    <t>RMC pre cast concrete beam and dense aggregate block floor; including all grouting joints, straps, infills and the like, designed, manufactured and installed by specialist Sub Contractor; laid on blockwork sleeper walls, provision of additional supports for stair cases</t>
  </si>
  <si>
    <t>RMC pre cast concrete beam and dense aggregate block floor; including all grouting joints, straps, infills and the like, designed, manufactured and installed by specialist Sub Contractor; laid on blockwork sleeper walls, provision of additional supports for lift shaft</t>
  </si>
  <si>
    <t>Dense aggregate blockwork; 7.3N/mm2 nominally 100mm thick; in cement mortar; stretcher担架 bond; laid flat, 100mm thick</t>
  </si>
  <si>
    <t xml:space="preserve"> Dense aggregate blockwork; 7.3N/mm2 nominally 100mm thick; in cement mortar; stretcher担架 bond; laid flat, 215mm thick; assumed to be 100mm blocks laid flat</t>
  </si>
  <si>
    <t>Dense aggregate blockwork; 7.3N/mm2 nominally 100mm thick; in cement mortar; stretcher担架 bond; laid flat, 215mm thick; assumed to be 100mm blocks laid flat; in piers</t>
  </si>
  <si>
    <t>Dense aggregate blockwork; 7.3N/mm2 nominally 100mm thick; in cement mortar; stretcher担架 bond; laid flat, Extra over blockwork for cutting blockwork to course 100mm thick</t>
  </si>
  <si>
    <t>Dense aggregate blockwork; 7.3N/mm2 nominally 100mm thick; in cement mortar; stretcher担架 bond; laid flat, Extra over blockwork for cutting blockwork to course 215mm thick</t>
  </si>
  <si>
    <t>Engineering bricks; manufacturer and product reference to be agreed; 7.5N/mm2 compressive strength; half lap stretcher bond; flush joints; walls, half brick thick</t>
  </si>
  <si>
    <t>Forming cavities in hollow walls; complete with Ancon stainless steel HRT4 safety ties at the rate of five per square metre, 125mm wide</t>
  </si>
  <si>
    <t>Forming cavities in hollow walls; complete with Ancon stainless steel HRT4 safety ties at the rate of five per square metre; and rigid insulation board; Celotex CG5000 50mm thick, 100mm wide</t>
  </si>
  <si>
    <t>Forming cavities in hollow walls; complete with Ancon stainless steel HRT4 safety ties at the rate of five per square metre; and rigid insulation board; Celotex CG5000 75mm thick, 125mm wide</t>
  </si>
  <si>
    <t>Visqueen Zedex Housing grade damp proof course; bedding in cement mortar, not exceeding 225mm wide</t>
  </si>
  <si>
    <t>Telescopic vents 通风口, Glidevale Limited ZLAB airbrick 空心砖 with ZLPS periscope潜望镜; colour Anthracite; building in as work proceeds, generally</t>
  </si>
  <si>
    <t>Frame, Pre cast concrete padstones, building in as work proceeds, 440 x 215 x 100mm</t>
  </si>
  <si>
    <t>Frame, Pre cast concrete padstones, building in as work proceeds, 600 x 215 x 100mm</t>
  </si>
  <si>
    <t>Frame, Pre cast concrete padstones, building in as work proceeds, 900 x 215 x 100mm</t>
  </si>
  <si>
    <t>Frame, Pre cast concrete padstones, building in as work proceeds,  440 / 440 x 215 x 100mm L shaped</t>
  </si>
  <si>
    <t>G10 STRUCTURAL STEEL FRAMING, All steelwork is to be designed, manufactured, supplied and erected by specialist Sub Contractor; including, but not limited to, all surface treatments; factory applied finishes; localised repairs and the like as required following installation; making good following installation; in accordance with specifications prepared by Craddys and the National Steelwork Specifications. Supply and erect all steelwork required for the Coombe Shute, Stoke Gabriel Housing project; including all galvanising as may be required</t>
  </si>
  <si>
    <t>Columns, weight not exceeding 40kg/m</t>
  </si>
  <si>
    <t>G10 STRUCTURAL STEEL FRAMING, Columns, weight not exceeding 40kg/m; square hollow section</t>
  </si>
  <si>
    <t>G10 STRUCTURAL STEEL FRAMING, Columns, weight not exceeding 40kg/m; galvanised</t>
  </si>
  <si>
    <t>G10 STRUCTURAL STEEL FRAMING, Columns, weight not exceeding 40kg/m; galvanised; square hollow section</t>
  </si>
  <si>
    <t>G10 STRUCTURAL STEEL FRAMING, Beams, weight not exceeding 40kg/m</t>
  </si>
  <si>
    <t>G10 STRUCTURAL STEEL FRAMING, Beams, weight not exceeding 40kg/m; square hollow section</t>
  </si>
  <si>
    <t>G10 STRUCTURAL STEEL FRAMING, Beams, weight not exceeding 40kg/m; galvanised</t>
  </si>
  <si>
    <t>G10 STRUCTURAL STEEL FRAMING, Beams, weight not exceeding 40kg/m; galvanised; rectangular hollow section</t>
  </si>
  <si>
    <t>G10 STRUCTURAL STEEL FRAMING, Beams, weight 40 to 100kg/m</t>
  </si>
  <si>
    <t>Fittings, generally; assessed at 17.5% of all steelwork</t>
  </si>
  <si>
    <t>Framing and erection, all works required to erect steel framework on site</t>
  </si>
  <si>
    <t>Allow for all works necessary to eliminate cold bridging within the design of the steel frame; by use of proprietary fittings and equipment, generally - no details</t>
  </si>
  <si>
    <t>Isolated structural and secondary steelwork additional framing and supports to external and internal walls</t>
  </si>
  <si>
    <t>Isolated structural and secondary steelwork additional framing and supports to roof structure, including all cleader rails and the like</t>
  </si>
  <si>
    <t>Isolated structural and secondary steelwork additional framing and supports to curtain walling, removable panels and the like</t>
  </si>
  <si>
    <t>additional framing and supports to mechanical and electrical installations additional framing and supports to mechanical and electrical installations</t>
  </si>
  <si>
    <t>additional framing and supports to mechanical and electrical installations windposts, WP3, nominally 2.40m long</t>
  </si>
  <si>
    <t>Prepare, touch up primer and apply two coats of approved bitumen based paint (RIW or similar) to steelwork, general surfaces, generally over 300mm - provisional quantity</t>
  </si>
  <si>
    <t>Prepare, touch up primer and apply two coats of approved exterior grade gloss paint to steelwork, general surfaces, generally over 300mm - provisional quantity</t>
  </si>
  <si>
    <t>Nulifire or similar approved intumescent膨胀的 paint finish to exposed surfaces; to achieve one hour fire rating; general surfaces of structural metalwork, over 300mm girth 周长 - Provisional Quantity - measured to all surfaces of all steelwork</t>
  </si>
  <si>
    <t>RMC or similar approved hollow core pre cast concrete floor planks 厚木板; including all grouting 灌浆 of ends of hollows,  all grouting joints, straps, infills and the like, designed, manufactured and installed by specialist Sub Contractor; laid on blockwork walls, nominally 150mm thick</t>
  </si>
  <si>
    <t>RMC or similar approved hollow core acoustic rated pre cast concrete floor planks; including all grouting of ends of hollows,  all grouting joints, straps, infills and the like, designed, manufactured and installed by specialist Sub Contractor; laid on blockwork walls, nominally 150mm thick</t>
  </si>
  <si>
    <t>TJI floor joists. Designed floor joists, to suit span, locations and loadings for the domestic properties, including the design, manufacture, supply and installation, complete with all joist hangers, fixings, supports, bracings 支撑, blockings and the like as required to complete installation, to suit upper floor area of 50.49m2; unit 1</t>
  </si>
  <si>
    <t>TJI floor joists. Designed floor joists, to suit span, locations and loadings for the domestic properties, including the design, manufacture, supply and installation, complete with all joist hangers, fixings, supports, bracings 支撑, blockings and the like as required to complete installation, to suit upper floor area of 56.18m2; unit 2</t>
  </si>
  <si>
    <t>TJI floor joists. Designed floor joists, to suit span, locations and loadings for the domestic properties, including the design, manufacture, supply and installation, complete with all joist hangers, fixings, supports, bracings 支撑, blockings and the like as required to complete installation,  to suit upper floor area of 54.39m2; unit 3</t>
  </si>
  <si>
    <t>TJI floor joists. Designed floor joists, to suit span, locations and loadings for the domestic properties, including the design, manufacture, supply and installation, complete with all joist hangers, fixings, supports, bracings 支撑, blockings and the like as required to complete installation, to suit upper floor area of 54.39m2; unit 4</t>
  </si>
  <si>
    <t>TJI floor joists. Designed floor joists, to suit span, locations and loadings for the domestic properties, including the design, manufacture, supply and installation, complete with all joist hangers, fixings, supports, bracings 支撑, blockings and the like as required to complete installation, to suit upper floor area of 54.41m2; unit 10</t>
  </si>
  <si>
    <t>TJI floor joists. Designed floor joists, to suit span, locations and loadings for the domestic properties, including the design, manufacture, supply and installation, complete with all joist hangers, fixings, supports, bracings 支撑, blockings and the like as required to complete installation, trimmers or additional joists to suit unit 1, 2.44m long</t>
  </si>
  <si>
    <t>TJI floor joists. Designed floor joists, to suit span, locations and loadings for the domestic properties, including the design, manufacture, supply and installation, complete with all joist hangers, fixings, supports, bracings 支撑, blockings and the like as required to complete installation, trimmers or additional joists to suit unit 3, 3.12m long</t>
  </si>
  <si>
    <t>TJI floor joists. Designed floor joists, to suit span, locations and loadings for the domestic properties, including the design, manufacture, supply and installation, complete with all joist hangers, fixings, supports, bracings 支撑, blockings and the like as required to complete installation, trimmers or additional joists to suit unit 4, 3.12m long</t>
  </si>
  <si>
    <t>Sawn 锯开的 softwood, for exterior use; preservative treated; grade C24, 50 x 150mm joists</t>
  </si>
  <si>
    <t>Sawn 锯开的 softwood, for exterior use; preservative treated; grade C24, 50 x 150mm joists; fixed to steel frame with and including bolts</t>
  </si>
  <si>
    <t>Fixings; galvanised mild steel, Straps; to suit upper floors; plugged and screwed to masonry walls; nailed to joists nominally 1750mm long, 50 x 3mm; bent once</t>
  </si>
  <si>
    <t>Fixings; galvanised mild steel, Joist hangers, external quality, nailed, to suit 150 x 50mm joists</t>
  </si>
  <si>
    <t>Floor boarding, Chipboard to B.S..5669 part 2; tongued and grooved flooring panels, all joints secret screwed to joists and glued, all joints offset; floors, over 300mm wide</t>
  </si>
  <si>
    <t>Balcony flooring Assumed to be hardwood ribbed decking boards; screw fixed to timber joists; 125 x 19mm section; with nominal 5mm gap between boards; complete with anti slip finish; preservative treated, over 300mm wide</t>
  </si>
  <si>
    <t>Rockwool or similar approved cavity fire breaks; at perimeter of upper floors; nominally 200 x 300mm section, horizontal</t>
  </si>
  <si>
    <t>Sawn softwood, preservative 防腐剂 treated; grade C24; pitched roof members, 150 x 50mm, C24 timber joists at 400mm centres; to porches</t>
  </si>
  <si>
    <t>Sawn softwood, preservative 防腐剂 treated; grade C24; pitched roof members, 150 x 50mm, C24 timber joists at 400mm centres; to dormers</t>
  </si>
  <si>
    <t xml:space="preserve"> Sawn softwood, preservative 防腐剂 treated; grade C24; pitched roof members, 175 x 50mm, C24 timber joists at 400mm centres; to unit 5 to 9</t>
  </si>
  <si>
    <t>Sawn softwood, preservative 防腐剂 treated; grade C24; pitched roof members, 250 x 25mm, C24 timber ridges 带钢单向皱纹; to unit 5 to 9</t>
  </si>
  <si>
    <t>Sawn softwood, preservative treated; grade C24; dormer 屋顶采光窗 wall construction, 100 x 50mm, C24 timber joists at 400mm centres</t>
  </si>
  <si>
    <t>Sawn softwood, preservative treated; bolted 用螺栓固定 to timber beams; plates, 100 x 50mm</t>
  </si>
  <si>
    <t>Sawn softwood, preservative treated; bolted to steel beams; plates, 100 x 50mm</t>
  </si>
  <si>
    <t>Sawn softwood, preservative treated; bolted to masonry with resin anchors at 300mm centres; plates, 100 x 50mm</t>
  </si>
  <si>
    <t>Sawn softwood, preservative treated; bedded in mortar; plates, 100 x 50mm</t>
  </si>
  <si>
    <t>Sawn softwood, preservative treated; bedded in mortar; plates, 100 x 50mm; to verges</t>
  </si>
  <si>
    <t>Sawn softwood, preservative treated; framing to eaves 屋檐 and verges , nominally 50 x 50mm</t>
  </si>
  <si>
    <t>Sawn softwood, preservative treated; framing to eaves 屋檐 and verges , nominally 50 x 50mm; plugged and screwed to masonry walls</t>
  </si>
  <si>
    <t>Roof trusses, designed, manufactured, supplied and installed by specialist Sub Contractor, complete with all bracings 紧固装置, fixings, central walkway boards; openings for access hatches 舱口 and the like as required to complete installation. total roof area - on plan; garage units for 7 to 9</t>
  </si>
  <si>
    <t>Roof trusses, designed, manufactured, supplied and installed by specialist Sub Contractor, complete with all bracings 紧固装置, fixings, central walkway boards; openings for access hatches 舱口 and the like as required to complete installation. total roof area - on plan; timber store</t>
  </si>
  <si>
    <t>Roof trusses, designed, manufactured, supplied and installed by specialist Sub Contractor, complete with all bracings 紧固装置, fixings, central walkway boards; openings for access hatches 舱口 and the like as required to complete installation. total roof area - on plan; car port 简易车库</t>
  </si>
  <si>
    <t>Roof trusses, designed, manufactured, supplied and installed by specialist Sub Contractor, complete with all bracings 紧固装置, fixings, central walkway boards; openings for access hatches 舱口 and the like as required to complete installation.  total roof area - on plan; units 1 and 2, including 4 dormers</t>
  </si>
  <si>
    <t>Roof trusses, designed, manufactured, supplied and installed by specialist Sub Contractor, complete with all bracings 紧固装置, fixings, central walkway boards; openings for access hatches 舱口 and the like as required to complete installation.  total roof area - on plan; units 3 and 4, including central shallow pitched valley</t>
  </si>
  <si>
    <t>Roof trusses, designed, manufactured, supplied and installed by specialist Sub Contractor, complete with all bracings 紧固装置, fixings, central walkway boards; openings for access hatches 舱口 and the like as required to complete installation.  total roof area - on plan; unit 10</t>
  </si>
  <si>
    <t>Assumed to be 12mm plywood; nailed to trusses nominally 300mm wide</t>
  </si>
  <si>
    <t>Straps; assumed to be galvanised mild steel; fixed to timber and masonry, assumed to be 1700 x 50 x 3mm, bent once; to verges</t>
  </si>
  <si>
    <t>Joist hangers 小梁挂铁, shoes, brackets and the like, as required to complete installation</t>
  </si>
  <si>
    <t>Natural slate roofing (no details); complete with approved battens (38 x 25mm) fixed to and including approved felt 毛毡/ breather membrane and the like to complete installation, pitch 斜度 25 degrees</t>
  </si>
  <si>
    <t>Natural slate roofing (no details); complete with approved battens (38 x 25mm) fixed to and including approved felt 毛毡/ breather membrane and the like to complete installation, pitch 35 degrees</t>
  </si>
  <si>
    <t>Natural slate roofing (no details); complete with approved battens (38 x 25mm) fixed to and including approved felt 毛毡/ breather membrane and the like to complete installation, Abutments邻接; complete with all additional battens, including over sized or cut slates to suit, pitched at 35 degrees</t>
  </si>
  <si>
    <t>Natural slate roofing (no details); complete with approved battens (38 x 25mm) fixed to and including approved felt 毛毡/ breather membrane and the like to complete installation, Abutments邻接; complete with all additional battens, including over sized or cut slates to suit, horizontal to tops of pitch</t>
  </si>
  <si>
    <t>Natural slate roofing (no details); complete with approved battens (38 x 25mm) fixed to and including approved felt 毛毡/ breather membrane and the like to complete installation, Abutments邻接; complete with all additional battens, including over sized or cut slates to suit, horizontal to bottom of pitch</t>
  </si>
  <si>
    <t>Natural slate roofing (no details); complete with approved battens (38 x 25mm) fixed to and including approved felt 毛毡/ breather membrane and the like to complete installation, Eaves; complete with tilting fillet, ventilation, dressing felt / breather membrane into gutter, including approved slip course of slates</t>
  </si>
  <si>
    <t>Natural slate roofing (no details); complete with approved battens (38 x 25mm) fixed to and including approved felt 毛毡/ breather membrane and the like to complete installation, Verges; complete with undercloak 粘土砖层, dressed tiles and mortar as required; including oversized slates to suit generally</t>
  </si>
  <si>
    <t>Roof Ridges; dry ridge 脊 system with all fixings, ventilation and the like, including additional battens, generally</t>
  </si>
  <si>
    <t>Roof Hips; dry ridge system with all fixings, ventilation and the like, including additional battens, generally</t>
  </si>
  <si>
    <t>Roof Valleys; cutting to both sides of valley (liner measured elsewhere) complete with all additional battens, generally</t>
  </si>
  <si>
    <t>Roof Holes, generally</t>
  </si>
  <si>
    <t>Roof Hip irons, generally</t>
  </si>
  <si>
    <t>Code 4 lead flashings; Flashings to abutments; complete with dressing into masonry as required; finishing with one coat of patination oil, stepped flashing to pitched abutment from roof tiles to masonry; dressing up face of masonry and over slates; girth nominally 350mm</t>
  </si>
  <si>
    <t>Code 4 lead flashings; Flashings to abutments; complete with dressing into masonry as required; finishing with one coat of patination oil, horizontal flashing to abutment from roof tiles to masonry; dressing up face of masonry and over slates; girth nominally 300mm</t>
  </si>
  <si>
    <t>Code 4 lead flashings; Flashings to abutments; complete with dressing into masonry as required; finishing with one coat of patination oil, horizontal flashing to flat roof skirting to masonry; dressing up face of masonry and over skirting; girth nominally 300mm</t>
  </si>
  <si>
    <t>Code 4 lead flashings; Flashings to abutments; complete with dressing into masonry as required; finishing with one coat of patination oil, soakers to flashing to pitched abutment from roof tiles to masonry; dressing under and over slates and up face of masonry; nominally soakers of 300 x 400mm</t>
  </si>
  <si>
    <t>Code 5 lead flashings. Flashings to valleys; complete with dressing onto timber battens and over plywood; finishing with one coat of patination oil, valley lining; nominally 450mm girth; bent five times; fixed to battens; in lengths not exceeding 1.50m, with 150mm lap</t>
  </si>
  <si>
    <t>Bill 6 Roof, secret gutter valley lining; nominally 450mm girth; bent five times; fixed to battens; in lengths not exceeding 1.50m, with 150mm lap</t>
  </si>
  <si>
    <t>Assumed to be Sarnafil or similar approved single ply 板层  warm roof covering; complete with all required vapour barriers, insulation, breather membranes, fleeces 抓绒, fixings, trims, seals and the like; laid on pre cast concrete planks; designed, manufactured and installed by specialist Sub Contractor, pitch not exceeding 4 degrees</t>
  </si>
  <si>
    <t>Assumed to be Sarnafil or similar approved single ply 板层  warm roof covering; complete with all required vapour barriers, insulation, breather membranes, fleeces 抓绒, fixings, trims, seals and the like; laid on pre cast concrete planks; designed, manufactured and installed by specialist Sub Contractor, pitch 5 degrees; with standing seam effect rolls at 600mm centres</t>
  </si>
  <si>
    <t>Roof covering Skirtings 基板; complete with all required insulation and the like; dressing up face of walls / parapets 扶手 and the like; make good as required; including all cappings, trims, formers, not exceeding 200mm girth</t>
  </si>
  <si>
    <t>Roof covering Flashings; complete with all required insulation and the like; dressing up roof trusses behind slates; make good as required; including all cappings, trims, formers, 400 to 600mm girth</t>
  </si>
  <si>
    <t>Roof covering Eaves; complete with all required insulation and the like; dressing over and into gutter; make good as required; including all cappings, trims, formers, 200 to 400mm girth</t>
  </si>
  <si>
    <t>Roof covering Approved paving slabs, on and including pedestals 基座 as required to provide working terrace to flat roof, no details, pitch not exceeding 4 degrees</t>
  </si>
  <si>
    <t>Softwood fascias; fixed to timber framing (measured elsewhere); complete with all trims, supports and the like to complete installation; assumed to be 22mm thick, fascia, nominally 250mm deep</t>
  </si>
  <si>
    <t>Softwood fascias; fixed to timber framing (measured elsewhere); complete with all trims, supports and the like to complete installation; assumed to be 22mm thick, verge fascia, nominally 250mm deep</t>
  </si>
  <si>
    <t>Softwood soffits; fixed to timber framing (measured elsewhere); complete with all trims装饰, ventilators通风口, supports and the like to complete installation, soffit, nominally 250mm wide; assumed to be 15mm thick</t>
  </si>
  <si>
    <t>Dormer window framing WBP plywood; fixed to timber frame (measured elsewhere); vertical, nominally 18mm thick, to dormer faces and cheeks; over 300mm wide</t>
  </si>
  <si>
    <t>Dormer window framing WBP plywood; fixed to timber frame (measured elsewhere); vertical, nominally 18mm thick,  to dormer faces and cheeks; not exceeding 300mm wide</t>
  </si>
  <si>
    <t>Cementious 水泥 render board, on and including approved battens to provide ventilation gap fixed to plywood substrate, to dormer faces and cheeks; over 300mm wide</t>
  </si>
  <si>
    <t>Cementious 水泥 render board, on and including approved battens to provide ventilation gap fixed to plywood substrate, to dormer faces and cheeks; not exceeding 300mm wide</t>
  </si>
  <si>
    <t>Painting fascias and soffits; Assumed to be Dulux Trade Exterior Gloss, prime, prepare, apply two undercoats and two finish coats; general surfaces, over 300mm girth</t>
  </si>
  <si>
    <t>Roof insulation; Assumed to be Rockwool or similar approved mineral fibre insulation quilt, nominally 400mm thick overall, horizontal, between joists nominally 150mm thick</t>
  </si>
  <si>
    <t>Roof insulation; Assumed to be Rockwool or similar approved mineral fibre insulation quilt, nominally 400mm thick overall, horizontal, over joists nominally 100mm thick</t>
  </si>
  <si>
    <t>Roof insulation; Assumed to be Rockwool or similar approved mineral fibre insulation quilt, nominally 400mm thick overall, horizontal, over joists nominally 150mm thick</t>
  </si>
  <si>
    <t>Roof insulation; Assumed to be Rockwool or similar approved mineral fibre insulation quilt, nominally 400mm thick overall, vertical, between studs nominally 100mm thick</t>
  </si>
  <si>
    <t>Roof insulation, Assumed to be Kingspan or similar approved rigid insulation boards, nominally 175mm thick overall, pitched, between joists nominally 75mm thick</t>
  </si>
  <si>
    <t>Roof insulation, Assumed to be Kingspan or similar approved rigid insulation boards, nominally 175mm thick overall, pitched, between joists nominally 100mm thick</t>
  </si>
  <si>
    <t>Gravity rainwater drainage system; Black uPVC rainwater pipes; complete with all elbows, connections, brackets, fixings and the like as required, nominally 75mm diameter</t>
  </si>
  <si>
    <t>Gravity rainwater drainage system; Black uPVC rainwater pipes; complete with all elbows, connections, brackets, fixings and the like as required, connection to below ground drainage</t>
  </si>
  <si>
    <t>Gravity rainwater drainage system; Black uPVC rainwater pipes; complete with all elbows, connections, brackets, fixings and the like as required, off set bends, 250mm</t>
  </si>
  <si>
    <t>Black uPVC rainwater gutters; complete with all elbows, connections, brackets, fixings and the like as required, half round, nominally 100mm diameter</t>
  </si>
  <si>
    <t>Black uPVC rainwater gutters; complete with all elbows, connections, brackets, fixings and the like as required, ends</t>
  </si>
  <si>
    <t>Black uPVC rainwater gutters; complete with all elbows, connections, brackets, fixings and the like as required, running outlets</t>
  </si>
  <si>
    <t>Black uPVC rainwater gutters; complete with all elbows, connections, brackets, fixings and the like as required, bends</t>
  </si>
  <si>
    <t>Testing and commissioning, as required</t>
  </si>
  <si>
    <t>Softwood framed staircases; with MDF treads and plywood risers; treads nominally 900mm wide; floor to floor height of 2775mm; ground to first floor; comprising of five treads, quarter landing, one tread, quarter landing and five treads; balustrade to landing return; unit 1</t>
  </si>
  <si>
    <t>Softwood framed staircases; with MDF treads and plywood risers; treads nominally 900mm wide; floor to floor height of 2775mm; ground to first floor; comprising of thirteen treads; balustrade to landing return; unit 2</t>
  </si>
  <si>
    <t>Softwood framed staircases; with MDF treads and plywood risers; treads nominally 900mm wide; floor to floor height of 2775mm; ground to first floor; comprising of thirteen treads; balustrade to landing return; unit 3</t>
  </si>
  <si>
    <t>Softwood framed staircases; with MDF treads and plywood risers; treads nominally 900mm wide; floor to floor height of 2775mm; ground to first floor; comprising of thirteen treads; balustrade to landing return; unit 4</t>
  </si>
  <si>
    <t>Softwood framed staircases; with MDF treads and plywood risers; treads nominally 900mm wide; floor to floor height of 2775mm; ground to first floor; comprising of three winder treads, six straight treads and three winder treads; unit 10</t>
  </si>
  <si>
    <t>Complete installation of precast concrete stair and landings; designed to approved British Standards and Engineers requirements; stairs to units 5 to 9; comprising of three flights of two, six and five treads with two quarter landings with one corner splayed; 950mm wide treads; 2650m overall rise; ground to first floor</t>
  </si>
  <si>
    <t>Complete installation of precast concrete stair and landings; designed to approved British Standards and Engineers requirements;  stairs to units 5 to 9; comprising of three flights of two, six and five treads with two quarter landings with one corner splayed; 950mm wide treads; 2625m overall rise; first to second floor</t>
  </si>
  <si>
    <t>Balustrading扶手; Assumed to be polyester 聚酯纤维 powder coated mild steel framed with vertical pilasters; complete with handrail to match; raking</t>
  </si>
  <si>
    <t>Balustrading扶手; Assumed to be polyester 聚酯纤维 powder coated mild steel framed with vertical pilasters; complete with handrail to match; horizontal</t>
  </si>
  <si>
    <t>Balustrading扶手; Assumed to be polyester 聚酯纤维 powder coated mild steel framed with vertical pilasters; complete with handrail to match; ends</t>
  </si>
  <si>
    <t>Balustrading扶手; Assumed to be polyester 聚酯纤维 powder coated mild steel framed with vertical pilasters; complete with handrail to match; connection to balustrade 扶手</t>
  </si>
  <si>
    <t>Balustrading扶手; Assumed to be polyester 聚酯纤维 powder coated mild steel framed with vertical pilasters; complete with handrail to match; bends</t>
  </si>
  <si>
    <t>Balustrading扶手; Assumed to be polyester 聚酯纤维 powder coated mild steel framed with vertical pilasters; complete with handrail to match; ramps 斜坡</t>
  </si>
  <si>
    <t>Assumed to be polyester powder coated handrails on brackets to masonry walls; raking</t>
  </si>
  <si>
    <t>Assumed to be polyester powder coated handrails on brackets to masonry walls; horizontal</t>
  </si>
  <si>
    <t>Assumed to be polyester powder coated handrails on brackets to masonry walls; ends</t>
  </si>
  <si>
    <t>Assumed to be polyester powder coated handrails on brackets to masonry walls; bends</t>
  </si>
  <si>
    <t>Assumed to be polyester powder coated handrails on brackets to masonry walls; ramps</t>
  </si>
  <si>
    <t>Painting stair strings 楼梯梁 Assumed to be ICI Dulux Trade Satinwood or similar approved; touch up primer, undercoat and two coats of finish paint, over 300mm girth</t>
  </si>
  <si>
    <t>Painting staircases and balustrades. Prepare, touch up primer and apply one undercoat and one gloss finishing coat of oil paint; general surfaces; strings, over 300mm girth</t>
  </si>
  <si>
    <t>Painting staircases and balustrades. Prepare, touch up primer and apply one undercoat and one gloss finishing coat of oil paint; not exceeding 300mm girth</t>
  </si>
  <si>
    <t>Prepare, touch up primer and apply one undercoat and one gloss finishing coat of oil paint; balustrades; measured both sides, over 300 girth</t>
  </si>
  <si>
    <t>Cover panels to stair strings. Assumed to be MDF; factory primed; mechanically fixed to pre cast concrete stair strings, nominally 19mm thick; 350mm high; all edges rounded</t>
  </si>
  <si>
    <t>Dense aggregate blockwork; 7.3N/mm2 nominally 100mm thick; in cement mortar; stretcher bond, 100mm thick</t>
  </si>
  <si>
    <t>Dense aggregate blockwork; 7.3N/mm2 nominally 100mm thick; in cement mortar; stretcher bond, 100mm thick, fair faced one side</t>
  </si>
  <si>
    <t>Dense aggregate blockwork; 7.3N/mm2 nominally 100mm thick; in cement mortar; stretcher bond, 100mm thick, fair faced both sides</t>
  </si>
  <si>
    <t>Dense aggregate blockwork; 7.3N/mm2 nominally 100mm thick; in cement mortar; stretcher bond, 215mm thick; two skins of 100mm blockwork tied together with ties at the rate of five per square metre and central joint fully filled with mortar; fair faced one side</t>
  </si>
  <si>
    <t>Dense aggregate blockwork; 7.3N/mm2 nominally 100mm thick; in cement mortar; stretcher bond, 100mm thick, in piers, overall 215mm thick; fair faced to three sides</t>
  </si>
  <si>
    <t>Dense aggregate blockwork; 7.3N/mm2 nominally 100mm thick; in cement mortar; stretcher bond, 100mm thick, in piers, overall 215mm thick; fair faced to four sides</t>
  </si>
  <si>
    <t>Dense aggregate blockwork; 7.3N/mm2 nominally 100mm thick; in cement mortar; stretcher bond, 100mm thick, in piers, overall 335mm thick; fair faced to three sides</t>
  </si>
  <si>
    <t>Dense aggregate blockwork; 7.3N/mm2 nominally 100mm thick; in cement mortar; stretcher bond, 100mm thick, in piers, overall 440mm thick; fair faced to three sides</t>
  </si>
  <si>
    <t>Dense aggregate blockwork; 7.3N/mm2 nominally 100mm thick; in cement mortar; stretcher bond, cutting blockwork to course 100mm thick</t>
  </si>
  <si>
    <t>Dense aggregate blockwork; 7.3N/mm2 nominally 100mm thick; in cement mortar; stretcher bond, cutting blockwork to course 100mm thick; raking</t>
  </si>
  <si>
    <t>Engineering bricks; manufacturer and product reference to be agreed; 7.5N/mm2 compressive strength; half lap stretcher bond; flush joints; walls, half brick thick =102.5 mm</t>
  </si>
  <si>
    <t>Natural stone walling; Assumed to be limestone or similar walling to match boundary walls; in cement mortar; complete with facing to suit wall thickness, including trimming and the like of stone; random courses; brushed finish, nominally 100mm thick</t>
  </si>
  <si>
    <t>Stonework; Assumed to be cast stone to match adjacent邻近的 environment; bedding in mortar; building in as work proceeds; nominally 425mm wide; 55mm deep; splayed top edge with two throats to underside; coppings, generally</t>
  </si>
  <si>
    <t>Stonework; Assumed to be cast stone to match adjacent environment; bedding in mortar; building in as work proceeds; nominally 125mm thick; 215mm deep; splayed bottom edge with throating; lintels, to suit opening 1248mm wide</t>
  </si>
  <si>
    <t>Stonework; Assumed to be cast stone to match adjacent environment; bedding in mortar; building in as work proceeds; nominally 150mm thick; 215mm deep; splayed top edge and stools to both ends with throating to underside; sills, to suit opening 685mm wide</t>
  </si>
  <si>
    <t>Stonework; Assumed to be cast stone to match adjacent environment; bedding in mortar; building in as work proceeds; nominally 150mm thick; 215mm deep; splayed top edge and stools to both ends with throating to underside; sills, to suit opening 1135mm wide</t>
  </si>
  <si>
    <t>Stonework; Assumed to be cast stone to match adjacent environment; bedding in mortar; building in as work proceeds; nominally 150mm thick; 215mm deep; splayed top edge and stools to both ends with throating to underside; sills, to suit opening 1248mm wide</t>
  </si>
  <si>
    <t>Stonework; Assumed to be cast stone to match adjacent environment; bedding in mortar; building in as work proceeds; nominally 150mm thick; 215mm deep; splayed top edge and stools to both ends with throating to underside; sills, to suit opening 1360mm wide</t>
  </si>
  <si>
    <t>Stonework; Assumed to be cast stone to match adjacent environment; bedding in mortar; building in as work proceeds; nominally 150mm thick; 215mm deep; splayed top edge and stools to both ends with throating to underside; sills, to suit opening 1698mm wide</t>
  </si>
  <si>
    <t>Stonework; Assumed to be cast stone to match adjacent environment; bedding in mortar; building in as work proceeds; nominally 150mm thick; 215mm deep; splayed top edge and stools to both ends with throating to underside; sills, to suit opening 1810mm wide</t>
  </si>
  <si>
    <t>Stonework; Assumed to be cast stone to match adjacent environment; bedding in mortar; building in as work proceeds; nominally 150mm thick; 215mm deep; splayed top edge and stools to both ends with throating to underside; sills, to suit opening 2710mm wide</t>
  </si>
  <si>
    <t>Forming cavities in hollow walls; complete with Ancon stainless steel HRT4 safety ties at the rate of five per square metre; and approved cavity wall insulation 75mm thick, 125mm wide</t>
  </si>
  <si>
    <t>Cavity trays; Visqueen Zedex Housing grade damp proof course; bedding in cement mortar, over 225mm wide</t>
  </si>
  <si>
    <t>Cavity closers; Assumed to be Kingspan or similar approved Thermabate cavity closer system, complete with all required insulation, brackets and the like; suitable for use in party walls, 100mm wide, vertical</t>
  </si>
  <si>
    <t>Cavity closers; Assumed to be Kingspan or similar approved Thermabate cavity closer system, complete with all required insulation, brackets and the like; suitable for use in party walls, 100mm wide, horizontal</t>
  </si>
  <si>
    <t>Weepholes 排水孔, Rytons Rytweep or similar approved; building in as work proceeds, generally</t>
  </si>
  <si>
    <t>IG Lintels, building in as work proceeds; reference L1/S or similar; to suit structural opening of; to suit structural opening 572mm wide; in cavity wall</t>
  </si>
  <si>
    <t xml:space="preserve"> IG Lintels, building in as work proceeds; reference L1/S or similar; to suit structural opening of; to suit structural opening 685mm wide; in cavity wall</t>
  </si>
  <si>
    <t>IG Lintels, building in as work proceeds; reference L1/S or similar; to suit structural opening of; to suit structural opening 910mm wide; in cavity wall</t>
  </si>
  <si>
    <t>IG Lintels, building in as work proceeds; reference L1/S or similar; to suit structural opening of; to suit structural opening 1022mm wide; in cavity wall</t>
  </si>
  <si>
    <t>IG Lintels, building in as work proceeds; reference L1/S or similar; to suit structural opening of; to suit structural opening 1135mm wide; in cavity wall</t>
  </si>
  <si>
    <t>IG Lintels, building in as work proceeds; reference L1/S or similar; to suit structural opening of; to suit structural opening 1248mm wide; in cavity wall</t>
  </si>
  <si>
    <t>IG Lintels, building in as work proceeds; reference L1/S or similar; to suit structural opening of; to suit structural opening 1360mm wide; in cavity wall</t>
  </si>
  <si>
    <t>IG Lintels, building in as work proceeds; reference L1/S or similar; to suit structural opening of; to suit structural opening 1585mm wide; in cavity wall</t>
  </si>
  <si>
    <t>IG Lintels, building in as work proceeds; reference L1/S or similar; to suit structural opening of; to suit structural opening 1698mm wide; in cavity wall</t>
  </si>
  <si>
    <t>IG Lintels, building in as work proceeds; reference L1/S or similar; to suit structural opening of; to suit structural opening 1810mm wide; in cavity wall</t>
  </si>
  <si>
    <t>IG Lintels, building in as work proceeds; reference L1/HD or similar; to suit structural opening of; to suit structural opening 2373mm wide; in cavity wall</t>
  </si>
  <si>
    <t>IG Lintels, building in as work proceeds; reference L1/HD or similar; to suit structural opening of; to suit structural opening 2485mm wide; in 215mm thick wall</t>
  </si>
  <si>
    <t>IG Lintels, building in as work proceeds; reference L1/HD or similar; to suit structural opening of; to suit structural opening 2598mm wide; in cavity wall</t>
  </si>
  <si>
    <t>IG Lintels, building in as work proceeds; reference L1/HD or similar; to suit structural opening of; to suit structural opening 2710mm wide; in cavity wall</t>
  </si>
  <si>
    <t>IG Lintels, building in as work proceeds; reference L1/HD or similar; to suit structural opening of; to suit structural opening 2935mm wide; in cavity wall</t>
  </si>
  <si>
    <t>Sawn softwood; to timber store; Sawn softwood; preservative treated, assumed to be grade C24, wall or partition members; 125 x 125mm posts</t>
  </si>
  <si>
    <t>Sawn softwood; to timber store; Sawn softwood; preservative treated, assumed to be grade C24, wall or partition members; 125 x 50mm rails</t>
  </si>
  <si>
    <t>Sawn softwood; to car port; Sawn softwood; preservative treated, assumed to be grade C24, wall or partition members; 150 x 150mm posts</t>
  </si>
  <si>
    <t>Sawn softwood; to car port; Sawn softwood; preservative treated, assumed to be grade C24, wall or partition members; 300 x 200mm beams</t>
  </si>
  <si>
    <t>Sawn softwood; to car port; Sawn softwood; preservative treated, assumed to be grade C24, wall or partition members; 200 x 150mm bracings - assumed to be dowelled mortice and tenon jointed</t>
  </si>
  <si>
    <t>Sawn softwood; to car port; Sawn softwood; preservative treated, assumed to be grade C24, wall or partition members; 200 x 150mm curved entrance bracings - assumed to be dowelled mortice and tenon jointed</t>
  </si>
  <si>
    <t>Sawn softwood; to car port; Sawn softwood; preservative treated, assumed to be grade C24, wall or partition members; 50 x 100mm</t>
  </si>
  <si>
    <t>Fixings; Assumed to be stainless steel shoes, resin bolted to concrete floor slab; complete with all required fixings, bolts and the like; to suit 125 x 125mm post</t>
  </si>
  <si>
    <t>Fixings; Assumed to be stainless steel shoes, resin bolted to concrete floor slab; complete with all required fixings, bolts and the like; to suit 150 x 150mm post</t>
  </si>
  <si>
    <t>Truss clips; to accept rails; nailed as required; to suit 125 x 50mm rails</t>
  </si>
  <si>
    <t>H30 FIBRE CEMENT PROFILED SHEET CLADDING/COVERING /SIDING; Assumed to be profiled large format cladding panels; including all insulation, vapour barriers, breather membranes, brackets, fixings and the like to complete installation; wall claddings; vertical</t>
  </si>
  <si>
    <t>H30 FIBRE CEMENT PROFILED SHEET CLADDING/COVERING /SIDING; Abutments; as required, no details; to roof profile, to head and sill; generally</t>
  </si>
  <si>
    <t>H30 FIBRE CEMENT PROFILED SHEET CLADDING/COVERING /SIDING; Trims to windows and the like; generally</t>
  </si>
  <si>
    <t>H30 FIBRE CEMENT PROFILED SHEET CLADDING/COVERING /SIDING; Holes, no details</t>
  </si>
  <si>
    <t>H41 GLASS REINFORCED PLASTICS PANEL CLADDING / FEATURES; Approved timber framed or Glass Reinforced Plastic off site manufactured chimney unit with brickwork to match below DPC; including capping and two chimney pots, blanking panels and the like; generally</t>
  </si>
  <si>
    <t>H41 GLASS REINFORCED PLASTICS PANEL CLADDING / FEATURES; Approved timber framed or Glass Reinforced Plastic off site manufactured entrance porch with slate roofing to match main roof; including supporting framing fixed to masonry walls; generally; 2.00m wide; 900mm projection, to unit 2</t>
  </si>
  <si>
    <t>H41 GLASS REINFORCED PLASTICS PANEL CLADDING / FEATURES; Approved timber framed or Glass Reinforced Plastic off site manufactured entrance porch with slate roofing to match main roof; including supporting framing fixed to masonry walls; generally; 2.30m wide; 900mm projection, to units 3 and 4</t>
  </si>
  <si>
    <t>H41 GLASS REINFORCED PLASTICS PANEL CLADDING / FEATURES; Approved timber framed or Glass Reinforced Plastic off site manufactured entrance porch with slate roofing to match main roof; including supporting framing fixed to masonry walls; generally; 3.47m wide; 600mm projection, to units 5 to 9</t>
  </si>
  <si>
    <t>Timber boarding; James Hardiplank timber effect Fibre Cement boarding; over 300mm wide</t>
  </si>
  <si>
    <t>Timber boarding; James Hardiplank timber effect Fibre Cement boarding; not exceeding 300mm wide</t>
  </si>
  <si>
    <t>Timber boarding; James Hardiplank timber effect Fibre Cement boarding; over 300mm wide; to soffits; complete with 100mm of apporved insulation board</t>
  </si>
  <si>
    <t>Timber boarding; Abutments; complete with all additional framing and the like; to render</t>
  </si>
  <si>
    <t>Timber boarding; Finished external angles; complete with feature trim and the like; external angles generally</t>
  </si>
  <si>
    <t>Timber boarding; Sills; complete with feature trim and the like; sills generally</t>
  </si>
  <si>
    <t>Timber boarding; Raking cutting to tops of walls, generally</t>
  </si>
  <si>
    <t>Timber boarding; Holes, generally</t>
  </si>
  <si>
    <t>Timber boarding; to timber store; Assumed to be preservative treated tongue and groove 凹槽 horizontal boarding; in 19 x 150mm planks, secret fixed to timber framing; walls; over 300mm wide</t>
  </si>
  <si>
    <t xml:space="preserve"> Timber boarding; to timber store; Finished external angles; complete with feature trim and the like; external angles generally</t>
  </si>
  <si>
    <t xml:space="preserve"> Timber boarding; to timber store; Sills基石; complete with feature trim and the like; sills generally</t>
  </si>
  <si>
    <t xml:space="preserve"> Timber boarding; to timber store; Raking cutting to tops of walls; generally</t>
  </si>
  <si>
    <t>Timber boarding; to car port; Assumed to be preservative treated tongue and groove horizontal boarding; in 19 x 150mm planks, secret fixed to timber framing; walls; over 300mm wide</t>
  </si>
  <si>
    <t>Timber boarding; to car port; Finished external angles; complete with feature trim and the like; external angles generally</t>
  </si>
  <si>
    <t>Timber boarding; to car port; Finished ends; complete with feature trim and the like; open abutments generally</t>
  </si>
  <si>
    <t>Timber boarding; to car port; Sills; complete with feature trim and the like; sills generally</t>
  </si>
  <si>
    <t>Assumed to be stainless steel framed balustrading, with safety laminated glass infill panels; fixed to masonry walls with approved brackets; 2710mm long; 1100mm high; to unit 2</t>
  </si>
  <si>
    <t>Assumed to be stainless steel framed balustrading, with safety laminated glass infill panels; clamp fixed at base to masonry walls with approved brackets; 500mm high; to unit 10</t>
  </si>
  <si>
    <t>Assumed to be stainless steel framed balustrading, with safety laminated glass infill panels; clamp fixed at base to masonry walls with approved brackets;  1100mm high; to unit 3 and 4</t>
  </si>
  <si>
    <t>Assumed to be stainless steel framed balustrading, with safety laminated glass infill panels; clamp fixed at base to masonry walls with approved brackets; 1500mm high; to unit 3 and 4; obscure glass</t>
  </si>
  <si>
    <t>Assumed to be stainless steel framed balustrading, with safety laminated glass infill panels; clamp fixed at base to masonry walls with approved brackets; ends / abutments to walls</t>
  </si>
  <si>
    <t>Assumed to be stainless steel framed balustrading, with safety laminated glass infill panels; clamp fixed at base to masonry walls with approved brackets; bends</t>
  </si>
  <si>
    <t>Assumed to be stainless steel framed balustrading, with safety laminated glass infill panels; clamp fixed at base to masonry walls with approved brackets; junctions</t>
  </si>
  <si>
    <t>Assumed to be stainless steel framed balustrading, with safety laminated glass infill panels; clamp fixed at base to masonry walls with approved brackets; 1100mm high; to unit 3 and 4</t>
  </si>
  <si>
    <t xml:space="preserve"> Assumed to be stainless steel framed balustrading, with safety laminated glass infill panels; clamp fixed at base to masonry walls with approved brackets; bends</t>
  </si>
  <si>
    <t>M20 PLASTERED /RENDERED /ROUGHCAST COATINGS; Proprietary two coat render system; to blockwork, through colour, over 300mm wide</t>
  </si>
  <si>
    <t>M20 PLASTERED /RENDERED /ROUGHCAST COATINGS; Proprietary two coat render system; to blockwork, through colour, not exceeding 300mm wide</t>
  </si>
  <si>
    <t>M20 PLASTERED /RENDERED /ROUGHCAST COATINGS; Waterproof proprietary two coat render system; to blockwork, through colour, over 300mm wide</t>
  </si>
  <si>
    <t>M20 PLASTERED /RENDERED /ROUGHCAST COATINGS; Waterproof proprietary two coat render system; to blockwork, through colour, not exceeding 300mm wide</t>
  </si>
  <si>
    <t>M20 PLASTERED /RENDERED /ROUGHCAST COATINGS; Waterproof proprietary two coat render system; to blockwork, through colour, Approved beads to suit render system, external angle beads</t>
  </si>
  <si>
    <t>M20 PLASTERED /RENDERED /ROUGHCAST COATINGS; Waterproof proprietary two coat render system; to blockwork, through colour, Approved beads to suit render system, bellcast stop bead</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</si>
  <si>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570 x 1210mm; plots 5, 6, 7, 8 and 9; reference W03, W05, W08, W13, W19 and W21; comprising of 1Nr obscure glazed fixed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</si>
  <si>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685 x 685mm; plot 10; reference W08; comprising of 1Nr side opening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</si>
  <si>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685 x 685mm; plot 10; references W04 and W07; comprising of 1Nr obscure glazed side opening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</si>
  <si>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685 x 1060mm; plots 3 and 4; references W02, W05, W07, W08, W13 and W14; comprising of 1Nr obscure glazed fixed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</si>
  <si>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installation;685 x 1060mm; plots 1 and 2; references W04, W15 and W16; comprising of 1Nr obscure glazed fixed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</si>
  <si>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installation;685 x 1210mm; plot 10; reference W01; comprising of 1Nr side opening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</si>
  <si>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installation;685 x 1210mm; plot 10; reference W02; egress window comprising of 1Nr side opening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</si>
  <si>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685 x 1210mm; plot 10; reference W05; comprising of 1Nr obscure glazed side opening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</si>
  <si>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685 x 1810mm; plot 10; reference W06; comprising of 1Nr obscure glazed fixed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</si>
  <si>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1023 x 1210mm; plots 5, 6, 7, 8 and 9; references W24, W25 and W26; comprising of 1Nr side opening pane and 1Nr fixed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</si>
  <si>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1023 x 1210mm; plots 5, 6, 7, 8 and 9; reference W23; egress window comprising of 1Nr side opening pane and 1Nr fixed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</si>
  <si>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1135 x 1060mm; plots 1 and 2; reference W09; comprising of 2Nr side opening panes</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</si>
  <si>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1135 x 1360mm; plots 1 and 2; references W05, W06 and W11; comprising of 2Nr side opening panes</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</si>
  <si>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1135 x 1360mm; plots 1 and 2; reference W12; egress window comprising of 2Nr side opening panes</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</si>
  <si>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1135 x 1660mm; plots 1 and 2; reference W08; comprising of 2Nr side opening panes</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</si>
  <si>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1248 x 685mm; plots 1 and 2; reference W10; comprising of 1Nr obscure glazed bottom opening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</si>
  <si>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1248 x 1210mm; plots 3 and 4; references W01 and W06; comprising of 1Nr side opening pane and 1Nr fixed pane</t>
  </si>
  <si>
    <t>Bill 9 Windows and External Doors; 1248 x 1210mm; plots 5, 6, 7, 8 and 9; references W04, W06, W07, W11, W12, W16, W20, W22 and W33; comprising of 1Nr side opening pane and 1Nr fixed pane</t>
  </si>
  <si>
    <t>Bill 9 Windows and External Doors; 1248 x 1210mm; plots 3 and 4; references W03, W04, W09, W10, W11 and W12; egress window comprising of 1Nr side opening pane and 1Nr fixed pane</t>
  </si>
  <si>
    <t>Bill 9 Windows and External Doors; 1248 x 1210mm; plots 5, 6, 7, 8 and 9; references W01, W02, W09, W10, W14, W15, W17 and W18; egress window comprising of 1Nr side opening pane and 1Nr fixed pane</t>
  </si>
  <si>
    <t>Bill 9 Windows and External Doors; 1248 x 1210mm; plot 10; reference W12; comprising of 1Nr side opening pane and 1Nr fixed pane</t>
  </si>
  <si>
    <t>Bill 9 Windows and External Doors; 1360 x 1210mm; plots 1 and 2; references W13 and W17; egress window comprising of 2Nr side opening panes and 1Nr fixed pane</t>
  </si>
  <si>
    <t>Bill 9 Windows and External Doors; 1360 x 1210mm; plot 10; reference W10; comprising of 2Nr side opening panes and 1Nr fixed pane</t>
  </si>
  <si>
    <t>Bill 9 Windows and External Doors; 1698 x 1210mm; plots 1 and 2; reference W02; comprising of 2Nr obscure glazed side opening panes and 1Nr obscure glazed fixed pane</t>
  </si>
  <si>
    <t>Bill 9 Windows and External Doors; 1698 x 1210mm; plot 10; reference W11; comprising of 2Nr obscure glazed side opening panes and 1Nr obscure glazed fixed pane</t>
  </si>
  <si>
    <t>Bill 9 Windows and External Doors; 1810 x 1210mm; plots 1 and 2; reference W01; comprising of 2Nr side opening panes and 1Nr fixed pane</t>
  </si>
  <si>
    <t>Bill 9 Windows and External Doors; 1810 x 1210mm; plot 10; reference W09; comprising of 2Nr side opening panes and 1Nr fixed pane</t>
  </si>
  <si>
    <t>Bill 9 Windows and External Doors; 1810 x 1210mm; plots 1 and 2; reference W03, W07 and W14; egress windows comprising of 2Nr side opening panes and 1Nr fixed pane</t>
  </si>
  <si>
    <t>Bill 9 Windows and External Doors; 1810 x 1210mm; plot 10; reference W03; egress windows comprising of 2Nr side opening panes and 1Nr fixed pane</t>
  </si>
  <si>
    <t>Velux windows; 550 x 980mm; plots 5, 6, 7, 8 and 9; references W35, W36 and W37</t>
  </si>
  <si>
    <t>Velux windows; 660 x 1398mm; plots 5, 6, 7, 8 and 9; references W27, W28, W29, W30, W31 and W32</t>
  </si>
  <si>
    <t>The Rooflight Company Plateau Slimline Profile or similar approved; flat rooflight; 669 x 690mm; plots 5, 6, 7, 8 and 9; reference W34</t>
  </si>
  <si>
    <t>Triangle roof element; 2900 x 1020mm (maximum height); plots 5, 6, 7, 8 and 9; reference W40</t>
  </si>
  <si>
    <t>Patio / French doorset; Profile 22 uPVC or similar approved; glazed with Ovolo beads玻璃粉; 1810 x 2110; plot 10; reference ED02; safety glazed single door with 2Nr safety glazed side lights and 2Nr top hung opening vents</t>
  </si>
  <si>
    <t>Patio / French doorset; Profile 22 uPVC or similar approved; glazed with Ovolo beads玻璃粉; 2730 x 2110; plots 1 and 2; reference ED05; double door with 6Nr side lights and 2Nr top hung opening vents</t>
  </si>
  <si>
    <t>Patio / French doorset; Profile 22 uPVC or similar approved; glazed with Ovolo beads玻璃粉; 2940 x 2110; plots 3 and 4; references ED05 and ED06; safety glazed double door with 6Nr safety glazed side lights and 2Nr top hung opening vents</t>
  </si>
  <si>
    <t>Patio / French doorset; Profile 22 uPVC or similar approved; glazed with Ovolo beads玻璃粉; 2940 x 2110; plots 5, 6, 7, 8 and 9; references ED02, ED03, ED04, ED05, ED06 and ED07; safety glazed double door with 2Nr safety glazed side lights and 2Nr top hung opening vents</t>
  </si>
  <si>
    <t>Sashless 无窗框的 Window Company Limited or similar approved; European Oak with a Light Oak finish; PAS 24 door; 1023 x 2110; plots 1 and 2; reference ED02; single door with 1Nr obscure glazed vision panel</t>
  </si>
  <si>
    <t>Sashless 无窗框的 Window Company Limited or similar approved; European Oak with a Light Oak finish; PAS 24 door; 1023 x 2110; plots 1 and 2; reference ED01; single door with 2Nr obscured safety glazed vision panels</t>
  </si>
  <si>
    <t>Sashless 无窗框的 Window Company Limited or similar approved; European Oak with a Light Oak finish; PAS 24 door; 1023 x 2110; plots 3 and 4; reference ED01; single door with 1Nr obscure glazed vision panel</t>
  </si>
  <si>
    <t>Sashless 无窗框的 Window Company Limited or similar approved; European Oak with a Light Oak finish; PAS 24 door; 1023 x 2110; plots 3 and 4; reference ED02; single door with 4Nr obscure glazed vision panels</t>
  </si>
  <si>
    <t>Sashless 无窗框的 Window Company Limited or similar approved; European Oak with a Light Oak finish; PAS 24 door; 1023 x 2110; plot 10; reference ED01; single door deemed to include 4Nr obscure glazed vision panels</t>
  </si>
  <si>
    <t>Front doorset to apartments; FD30S; Vicaima Oak EX5.1 or similar approved; assumed to be PAS 24; timber veneered; 1023 x 2110; plots 5, 6, 7, 8 and 9; references ED08, ED09, ED10, ED12 and ED13; single door</t>
  </si>
  <si>
    <t>Front doorset to apartments; FD30S; solid oak high quality bespoke glazed feature front door; 1023 x 2110; plots 5, 6, 7, 8 and 9; reference ED01, single door</t>
  </si>
  <si>
    <t>Front doorset to apartments; FD30S; Visofold 1000 Series or similar approved; white aluminium doors; 2373 x 2110; plots 1 and 2; references ED03 and ED04; safety glazed</t>
  </si>
  <si>
    <t>Front doorset to apartments; FD30S; Visofold 1000 Series or similar approved; white aluminium doors; 3610 x 2110; plots 3 and 4; references ED03 and ED04; safety glazed</t>
  </si>
  <si>
    <t>Front doorset to apartments; FD30S; Visofold 1000 Series or similar approved; white aluminium doors; 2598 x 2110; plot 10; reference ED03</t>
  </si>
  <si>
    <t>Garador or standard 8070 frame or similar approved; recessed with Sherwood metal door with laminated oak finish; 2579 x 2194; plot 10; reference ED04</t>
  </si>
  <si>
    <t>Garador or standard 8070 frame or similar approved; recessed with Sherwood metal door with laminated oak finish; 2485 x 2185; garage block; reference ED01, 02, 03, 04</t>
  </si>
  <si>
    <t>External timber door to match timber boarding; 1022.5 x 2110; garage block; reference ED05</t>
  </si>
  <si>
    <t>MDF window boards; factory primed; generally; 25 x 250mm; bullnosed profile</t>
  </si>
  <si>
    <t>Veneered timber window boards; generally; 25 x 250mm; bullnosed profile</t>
  </si>
  <si>
    <t>M60 PAINTING/CLEAR FINISHING, not exceeding 300mm girth</t>
  </si>
  <si>
    <t>Dense aggregate blockwork; 7.3N/mm2 in cement mortar; stretcher bond; laid flat; 215mm thick; assumed to be 100mm blocks laid flat</t>
  </si>
  <si>
    <t>Dense aggregate blockwork; 7.3N/mm2 nominally 100mm thick; in cement mortar; stretcher bond; laid flat; cutting blockwork to course 100mm thick</t>
  </si>
  <si>
    <t>Dense aggregate blockwork; 7.3N/mm2 nominally 100mm thick; in cement mortar; stretcher bond; laid flat; cutting blockwork to course 100mm thick; raking</t>
  </si>
  <si>
    <t>Dense aggregate blockwork; 7.3N/mm2 nominally 100mm thick; in cement mortar; stretcher bond; laid flat; cutting blockwork to course 215mm thick</t>
  </si>
  <si>
    <t>Forming cavities in hollow walls; complete with Ancon stainless steel HRT4 safety ties at the rate of five per square metre; 100mm wide</t>
  </si>
  <si>
    <t>Cavity closers; 100mm wide, vertical</t>
  </si>
  <si>
    <t>Pre cast concrete lintels; 100 x 215mm deep; building in as work proceeds, to suit structural opening 930mm wide</t>
  </si>
  <si>
    <t>Pre cast concrete lintels; 100 x 215mm deep; building in as work proceeds, to suit structural opening 1025mm wide</t>
  </si>
  <si>
    <t>Pre cast concrete lintels; 100 x 215mm deep; building in as work proceeds, to suit structural opening 1115mm wide</t>
  </si>
  <si>
    <t>Pre cast concrete lintels; 100 x 215mm deep; building in as work proceeds, to suit structural opening 1275mm wide</t>
  </si>
  <si>
    <t>Sawn softwood, preservative treated, grade C24, wall or partition members, nominally 45 x 89mm</t>
  </si>
  <si>
    <t>Sawn softwood, preservative treated, grade C24, wall or partition members, nominally 45 x 89mm; fixed to screed or floor boards</t>
  </si>
  <si>
    <t>Standard assumed 12.5mm thick plasterboard linings to timber framing (framing measured elsewhere), generally - measured over openings</t>
  </si>
  <si>
    <t>Moisture resistant or cement particle board linings assumed 12.5mm thick to timber framing (framing measured elsewhere), generally - measured over openings</t>
  </si>
  <si>
    <t>Gyproc Soundblock board linings, two layers assumed 12.5mm thick to timber framing (framing measured elsewhere), generally - measured over openings</t>
  </si>
  <si>
    <t>Gyproc Soundblock board linings, two layers assumed 12.5mm thick to timber framing (framing measured elsewhere), Angles; complete with all required additional boarding and the like; measured to both sides of walls, generally</t>
  </si>
  <si>
    <t>Gyproc Soundblock board linings, two layers assumed 12.5mm thick to timber framing (framing measured elsewhere), Angles; complete with all required additional boarding and the like; measured to both sides of walls, generally, 45 degree</t>
  </si>
  <si>
    <t>Gyproc Soundblock board linings, two layers assumed 12.5mm thick to timber framing (framing measured elsewhere), Fair ends; complete with all required additional boarding and the like, generally</t>
  </si>
  <si>
    <t>Gyproc Soundblock board linings, two layers assumed 12.5mm thick to timber framing (framing measured elsewhere), Abutments; to masonry walls; complete with all required sealant and the like; measured to both sides of walls, generally</t>
  </si>
  <si>
    <t>Allow for forming soil pipe casings, comprising of approved 38 x 38mm timber framing构架 at 600mm centres vertically, with vertical framing at all corners and abutments; lining with two layers of Gyproc Soundblock board, two faces, overall girth not exceeding 600mm</t>
  </si>
  <si>
    <t>Allow for forming soil pipe casings, comprising of approved 38 x 38mm timber framing构架 at 600mm centres vertically, with vertical framing at all corners and abutments; lining with two layers of Gyproc Soundblock board, three faces, overall girth 600 to 900mm</t>
  </si>
  <si>
    <t>Vicaima or similar approved; internal doors to ground floors, product reference Vicaima Oak with veneer inlay镶嵌; EX5.1/01 or equal and approved; single door to plot 1 and 2; 838 x 1981mm; reference ID01, ID02, ID03, ID05, ID06</t>
  </si>
  <si>
    <t>Vicaima or similar approved; internal doors to ground floors, product reference Vicaima Oak with veneer inlay镶嵌; EX5.1/01 or equal and approved; single door to plot 1 and 2; 626 x 1981mm; reference ID07</t>
  </si>
  <si>
    <t>Vicaima or similar approved; internal doors to ground floors, product reference Vicaima Oak with veneer inlay镶嵌; EX5.1/01 or equal and approved; double door to plot 1 and 2; 839 x 2100mm; reference ID09</t>
  </si>
  <si>
    <t>Vicaima or similar approved; internal doors to ground floors, product reference Vicaima Oak with veneer inlay镶嵌; EX5.1/01 or equal and approved; single door to plot 3 and 4; 838 x 1981mm; reference ID02, ID03, ID06, ID07, ID08</t>
  </si>
  <si>
    <t>Vicaima or similar approved; internal doors to ground floors, product reference Vicaima Oak with veneer inlay镶嵌; EX5.1/01 or equal and approved; single door to plot 3 and 4; 686 x 1981mm; reference ID01, ID05, ID10</t>
  </si>
  <si>
    <t>Vicaima or similar approved; internal doors to ground floors, product reference Vicaima Oak with veneer inlay镶嵌; EX5.1/01 or equal and approved; single door to plots 5,6,7,8 and 9; 838 x 1981mm; reference ID01, ID03, ID04, ID07, ID11, ID13, ID14, ID16; assumed to be fire rated 30 minutes</t>
  </si>
  <si>
    <t>Vicaima or similar approved; internal doors to ground floors, product reference Vicaima Oak with veneer inlay镶嵌; EX5.1/01 or equal and approved; single door to plot 5,6,7,8 and 9; 726 x 1981mm; reference ID17; assumed to be fire rated 30 minutes</t>
  </si>
  <si>
    <t>Vicaima or similar approved; internal doors to ground floors, product reference Vicaima Oak with veneer inlay镶嵌; EX5.1/01 or equal and approved; double door to plot 5,6,7,8 and 9; 1062 x 1981mm; reference ID06, ID10; assumed to be fire rated 30 minutes</t>
  </si>
  <si>
    <t>Vicaima or similar approved; internal doors to ground floors, product reference Vicaima Oak with veneer inlay镶嵌; EX5.1/01 or equal and approved; single door to plot 10; 838 x 1981mm; reference ID01, ID02, ID04, ID07, ID09</t>
  </si>
  <si>
    <t>Vicaima or similar approved; internal doors to ground floors, product reference Vicaima Oak with veneer inlay镶嵌; EX5.1/01 or equal and approved; single door to plot 10; 626 x 1981mm; reference ID06</t>
  </si>
  <si>
    <t>Vicaima or similar approved; internal doors to ground floors, product reference Vicaima Oak with veneer inlay镶嵌; EX5.1/01 or equal and approved; single door to plot 10; 762 x 1981mm; reference ID03</t>
  </si>
  <si>
    <t>Vicaima or similar approved; internal doors to ground floors, product reference Vicaima Oak with veneer inlay镶嵌; EX5.1/01 or equal and approved; double door to plot 10; 1070 x 1981mm; reference ID05, ID08</t>
  </si>
  <si>
    <t>Vicaima or similar approved; internal doors to living rooms, product reference Vicaima Oak with fully glazed infill panel; EX5.1/1/DFG16 or equal and approved; single door to plot 1 and 2; 838 x 1981mm; reference ID04, ID08</t>
  </si>
  <si>
    <t>Vicaima or similar approved; internal doors to living rooms, product reference Vicaima Oak with fully glazed infill panel; EX5.1/1/DFG16 or equal and approved; single door to plot 3 and 4; 838 x 1981mm; reference ID04, ID09</t>
  </si>
  <si>
    <t>Vicaima or similar approved; internal doors to living rooms, product reference Vicaima Oak with fully glazed infill panel; EX5.1/1/DFG16 or equal and approved; single door to plot 5,6,7,8 and 9; 838 x 1981mm; reference ID05, ID12, ID22, ID29; assumed to be fire rated 30 minutes</t>
  </si>
  <si>
    <t>Vicaima or similar approved; internal doors to living rooms, product reference Vicaima Oak with fully glazed infill panel; EX5.1/1/DFG16 or equal and approved; single door to plot 10; 838 x 1981mm; reference ID11</t>
  </si>
  <si>
    <t>Vicaima or similar approved; internal doors to first floors, product reference Vicaima Oak N1000 plain doors with no inlay; EX5.1/01 or equal and approved; single door to plot 1 and 2; 838 x 1981mm; reference ID10, ID11, ID12, ID13, ID15, ID18, ID19, ID20, ID21, ID22</t>
  </si>
  <si>
    <t>Vicaima or similar approved; internal doors to first floors, product reference Vicaima Oak N1000 plain doors with no inlay; EX5.1/01 or equal and approved; single door to plot 3 and 4; 838 x 1981mm; reference ID12, ID13, ID14, ID15, ID16, ID17, ID18, ID21, ID22, ID23, ID24</t>
  </si>
  <si>
    <t>Vicaima or similar approved; internal doors to first floors, product reference Vicaima Oak N1000 plain doors with no inlay; EX5.1/01 or equal and approved; single door to plot 3 and 4; 762 x 1981mm; reference ID19</t>
  </si>
  <si>
    <t>Vicaima or similar approved; internal doors to first floors, product reference Vicaima Oak N1000 plain doors with no inlay; EX5.1/01 or equal and approved; single door to plot 5,6,7,8 and 9; 838 x 1981mm; reference ID18, ID20, ID21, ID24, ID27, ID30, ID31, ID33, ID34, ID35, ID36, ID37, ID38; assumed to be fire rated 30 minutes</t>
  </si>
  <si>
    <t>Vicaima or similar approved; internal doors to first floors, product reference Vicaima Oak N1000 plain doors with no inlay; EX5.1/01 or equal and approved; single door to plot 5,6,7,8 and 9; 626 x 1447mm; reference ID39, ID42, ID45; assumed to be fire rated 30 minutes</t>
  </si>
  <si>
    <t>Vicaima or similar approved; internal doors to first floors, product reference Vicaima Oak N1000 plain doors with no inlay; EX5.1/01 or equal and approved; double door to plot 5,6,7,8 and 9; 1062 x 1981mm; reference ID23, ID28; assumed to be fire rated 30 minutes</t>
  </si>
  <si>
    <t>Vicaima or similar approved; internal doors to first floors, product reference Vicaima Oak N1000 plain doors with no inlay; EX5.1/01 or equal and approved; single door to plot 10; 838 x 1981mm; reference ID12</t>
  </si>
  <si>
    <t>Vicaima or similar approved; internal doors to boiler cupboards, product reference Vicaima performance door; single door to plot 1 and 2; 838 x 1981mm; 33 dB acoustic rating; fire rated; reference ID14</t>
  </si>
  <si>
    <t>Vicaima or similar approved; internal doors to boiler cupboards, product reference Vicaima performance door; single door to plot 1 and 2; 726 x 1981mm; 33 dB acoustic rating; fire rated; reference ID17</t>
  </si>
  <si>
    <t>Vicaima or similar approved; internal doors to boiler cupboards, product reference Vicaima performance door; double door to plot 3 and 4; 839 x 1981mm; 33 dB acoustic rating; fire rated; reference ID11</t>
  </si>
  <si>
    <t>Vicaima or similar approved; internal doors to boiler cupboards, product reference Vicaima performance door; single door to plot 3 and 4; 762 x 1981mm; 33 dB acoustic rating; fire rated; reference ID20</t>
  </si>
  <si>
    <t>Vicaima or similar approved; internal doors to boiler cupboards, product reference Vicaima performance door; single door to plot 5,6,7,8 and 9; 926 x 1447mm; 33 dB acoustic rating; fire rated; reference ID02, ID15, ID19, ID32, ID43</t>
  </si>
  <si>
    <t>UPVC White loft hatch; plot 1 and 2; 900 x 900 mm</t>
  </si>
  <si>
    <t>UPVC White loft hatch; plot 3 and 4; 900 x 900 mm</t>
  </si>
  <si>
    <t>UPVC White loft hatch; plot 10; 900 x 900 mm</t>
  </si>
  <si>
    <t>Dulux water based satin缎子 paint or similar approved; plot 1 and 2; not exceeding 300mm girth</t>
  </si>
  <si>
    <t>Dulux water based satin缎子 paint or similar approved; plot 3 and 4; not exceeding 300mm girth</t>
  </si>
  <si>
    <t>Dulux water based satin缎子 paint or similar approved; plot 5,6,7,8 and 9; not exceeding 300mm girth</t>
  </si>
  <si>
    <t>Dulux water based satin缎子 paint or similar approved; plot 10; not exceeding 300mm girth</t>
  </si>
  <si>
    <t>Hardwood architraves; 20 x 75mm to match skirtings; finished with DUlux water based satin paint as M60; plot 1 and 2; not exceeding 300mm girth</t>
  </si>
  <si>
    <t>Hardwood architraves; 20 x 75mm to match skirtings; finished with DUlux water based satin paint as M60; plot 3 and 4; not exceeding 300mm girth</t>
  </si>
  <si>
    <t>Hardwood architraves; 20 x 75mm to match skirtings; finished with DUlux water based satin paint as M60; plot 5,6,7,8 and 9; not exceeding 300mm girth</t>
  </si>
  <si>
    <t>Hardwood architraves; 20 x 75mm to match skirtings; finished with DUlux water based satin paint as M60; plot 10; not exceeding 300mm girth</t>
  </si>
  <si>
    <t>Denleigh Ironmongery or similar approved; single doors; plot 1 and 2; generally</t>
  </si>
  <si>
    <t>Denleigh Ironmongery or similar approved; double doors; plot 1 and 2; generally</t>
  </si>
  <si>
    <t>Denleigh Ironmongery or similar approved; single doors; plot 3 and 4; generally</t>
  </si>
  <si>
    <t>Denleigh Ironmongery or similar approved; double doors; plot 3 and 4; generally</t>
  </si>
  <si>
    <t>Denleigh Ironmongery or similar approved; single doors; plot 5,6,7,8 and 9; generally</t>
  </si>
  <si>
    <t>Denleigh Ironmongery or similar approved; double doors; plot 5,6,7,8 and 9; generally</t>
  </si>
  <si>
    <t>Denleigh Ironmongery or similar approved; single doors; plot 10; generally</t>
  </si>
  <si>
    <t>Denleigh Ironmongery or similar approved; double doors; plot 10; generally</t>
  </si>
  <si>
    <t>Bedding and pointing with approved polysulphide sealant; to suit fire and acoustic rating, plot 1 and 2</t>
  </si>
  <si>
    <t>Bedding and pointing with approved polysulphide sealant; to suit fire and acoustic rating, plot 3 and 4</t>
  </si>
  <si>
    <t>Bedding and pointing with approved polysulphide sealant; to suit fire and acoustic rating, plot 5,6,7,8 and 9; fire rated 30 minutes</t>
  </si>
  <si>
    <t>Bedding and pointing with approved polysulphide sealant; to suit fire and acoustic rating, plot 10</t>
  </si>
  <si>
    <t>Standard assumed 12.5mm thick plasterboard linings fixed with plasterboard dabs to masonry (measured elsewhere), generally, over 300mm wide</t>
  </si>
  <si>
    <t>Standard assumed 12.5mm thick plasterboard linings fixed with plasterboard dabs to masonry (measured elsewhere), generally, not exceeding 300mm wide</t>
  </si>
  <si>
    <t>Moisture resistant or cement particle board linings assumed 12.5mm thick to timber framing, generally; over 300mm wide</t>
  </si>
  <si>
    <t>Moisture resistant or cement particle board linings assumed 12.5mm thick to timber framing, generally, not exceeding 300mm wide</t>
  </si>
  <si>
    <t>Allow for forming pipe casings包装 and low level boxings, comprising of approved 38 x 38mm timber framing at 600mm centres vertically, with vertical framing at all corners and abutments and 450mm centres horizontally; lining with one layer of Gyproc Soundblock board and one layer of moisture resistant board, generally; over 300mm wide</t>
  </si>
  <si>
    <t>Allow for forming pipe casings包装 and low level boxings, comprising of approved 38 x 38mm timber framing at 600mm centres vertically, with vertical framing at all corners and abutments and 450mm centres horizontally; lining with one layer of Gyproc Soundblock board and one layer of moisture resistant board, generally; not exceeding 300mm wide</t>
  </si>
  <si>
    <t>Plaster; one coat skim of gypsum board finish plaster; 3mm thick; trowelling抹平 smooth; walls, over 300mm wide</t>
  </si>
  <si>
    <t>Plaster; one coat skim of gypsum board finish plaster; 3mm thick; trowelling抹平 smooth; walls, not exceeding 300mm wide</t>
  </si>
  <si>
    <t>Large format ceramic陶瓷的 wall tiles; complete with approved adhesive and coloured grout; over 300mm wide</t>
  </si>
  <si>
    <t>Large format ceramic陶瓷的 wall tiles; complete with approved adhesive and coloured grout; not exceeding 300mm wide</t>
  </si>
  <si>
    <t>Stainless steel perimeter边缘 trim装饰 beads, generally</t>
  </si>
  <si>
    <t>Approved sanitary grade white sealant to internal joints and the like, generally; 8 x 8mm fillet</t>
  </si>
  <si>
    <t>Assumed to be Dulux Trade Diamond Matt Emulsion or similar, over 300 girth</t>
  </si>
  <si>
    <t>Harlech _x0018_select oak lacquered涂漆, 5mm thick veneered 薄片镶面 floor or similar approved; over 300mm wide</t>
  </si>
  <si>
    <t>Screed construction; level or to falls only not exceeding 15 degrees from horizontal</t>
  </si>
  <si>
    <t>Screed construction; level or to falls only not exceeding 15 degrees from horizontal; to garage; Provisional Quantity</t>
  </si>
  <si>
    <t>Screed construction; level or to falls only not exceeding 15 degrees from horizontal; landings</t>
  </si>
  <si>
    <t>Screed construction; perimeter isolation strip including mastic sealant where required</t>
  </si>
  <si>
    <t>Screed construction; forming recess壁凹 for entrance matting</t>
  </si>
  <si>
    <t>Screed construction; construction joints</t>
  </si>
  <si>
    <t>Screed construction; forming holes for shower gullies 水沟</t>
  </si>
  <si>
    <t>Trowelling smooth, generally</t>
  </si>
  <si>
    <t>Latex smoothing compound, level or to falls only not exceeding 15 degrees from horizontal - Provisional Quantity</t>
  </si>
  <si>
    <t>Latex smoothing compound, level or to falls only not exceeding 15 degrees from horizontal - Provisional Quantity; landings</t>
  </si>
  <si>
    <t>Liquid damp proof membrane; trowelling smooth; vinyl and rubber floors, level or to falls only not exceeding 15 degrees from horizontal - Provisional Quantity</t>
  </si>
  <si>
    <t>Liquid damp proof membrane; trowelling smooth; vinyl and rubber floors, level or to falls only not exceeding 15 degrees from horizontal - Provisional Quantity; landings</t>
  </si>
  <si>
    <t>Ceramic floor tiling; level or to falls</t>
  </si>
  <si>
    <t>Ceramic floor tiling; Tiled skirting - generally</t>
  </si>
  <si>
    <t>New Oaklands 80/20/50oz or similar approved on and including PU foam underlay; over 300mm wide</t>
  </si>
  <si>
    <t>New Oaklands 80/20/50oz or similar approved on and including PU foam underlay; risers; not exceeding 300mm wide</t>
  </si>
  <si>
    <t>New Oaklands 80/20/50oz or similar approved on and including PU foam underlay; treads; not exceeding 300mm wide</t>
  </si>
  <si>
    <t>New Oaklands 80/20/50oz or similar approved on and including PU foam underlay; winder treads; over 300mm wide average</t>
  </si>
  <si>
    <t>Stair nosings, generally - to all staircases</t>
  </si>
  <si>
    <t>Stair nosings, generally; winder stairs</t>
  </si>
  <si>
    <t>Dulux Trade water based satin or similar approved; not exceeding 300mm girth</t>
  </si>
  <si>
    <t>Dulux Trade water based satin or similar approved; Paint to enhanced skirtings in hallways, not exceeding 300mm girth</t>
  </si>
  <si>
    <t>Coir entrance matwell mat; over 300mm wide</t>
  </si>
  <si>
    <t>Entrance matting frame; generally</t>
  </si>
  <si>
    <t>Rigid坚硬的 insulation boards; to achieve U Values; tight butt joints; 150mm thick, over 300mm wide</t>
  </si>
  <si>
    <t>Skirtings; MDF, 18mm x 144mm</t>
  </si>
  <si>
    <t>Skirtings; MDF, generally; to hallways</t>
  </si>
  <si>
    <t>Sealant joint between bottom of skirting and tiled / timber floors, nominally 6 x 6mm fillet, generally</t>
  </si>
  <si>
    <t>Temporary protection of finishes/floors, generally</t>
  </si>
  <si>
    <t>Temporary protection of finishes/floors, generally; treads</t>
  </si>
  <si>
    <t>Temporary protection of finishes/floors, generally; risers</t>
  </si>
  <si>
    <t>Temporary protection of finishes/floors, generally; winder treads</t>
  </si>
  <si>
    <t>Temporary protection of finishes/floors, generally; winder risers</t>
  </si>
  <si>
    <t>Cleaning covered floors; generally</t>
  </si>
  <si>
    <t>Cleaning covered floors; generally; treads</t>
  </si>
  <si>
    <t>Cleaning covered floors; generally; risers</t>
  </si>
  <si>
    <t>Cleaning covered floors; generally; winder treads</t>
  </si>
  <si>
    <t>Cleaning covered floors; generally; winder risers</t>
  </si>
  <si>
    <t>Plasterboard ceiling; Lafarge standard 15mm wallboard or similar approved; generally</t>
  </si>
  <si>
    <t>Plasterboard ceiling; Lafarge standard 15mm wallboard or similar approved; generally; raking</t>
  </si>
  <si>
    <t>Plasterboard ceiling; Contractor to make allowance for fixing around services</t>
  </si>
  <si>
    <t>Plasterboard ceiling; moisture resistant board in lieu代替 of standard board</t>
  </si>
  <si>
    <t>Plasterboard ceiling; flush access panels</t>
  </si>
  <si>
    <t>Plasterboard ceiling; pattresses; (allowed for 1nr per 5m2 of ceiling areas) - Provisional Quantities</t>
  </si>
  <si>
    <t>Plasterboard ceiling; Lafarge standard 15mm vapour check wallboard or similar approved; generally</t>
  </si>
  <si>
    <t>Plasterboard ceiling; Lafarge standard 15mm vapour check wallboard or similar approved; generally; sloping</t>
  </si>
  <si>
    <t>Plasterboard ceiling; moisture resistant board in lieu of standard board</t>
  </si>
  <si>
    <t>Plasterboard suspended ceiling; Assumed to be an British Gypsum Casoline MF suspended ceiling system or similar approved; generally</t>
  </si>
  <si>
    <t>Plasterboard suspended ceiling; Assumed to be an British Gypsum Casoline MF suspended ceiling system or similar approved; generally; raking</t>
  </si>
  <si>
    <t>Plasterboard suspended ceiling; pattresses; (allowed for 1nr per 5m2 of ceiling areas) - Provisional Quantities</t>
  </si>
  <si>
    <t>Plasterboard suspended ceiling; flush access panels</t>
  </si>
  <si>
    <t>Plasterboard suspended ceiling; Contractor to make allowance for fixing around services</t>
  </si>
  <si>
    <t>Plasterboard suspended ceiling; moisture resistant board in lieu of standard board</t>
  </si>
  <si>
    <t>Plaster skim coat finish; nominally 3mm thick; over 300mm wide</t>
  </si>
  <si>
    <t>Plaster skim coat finish; nominally 3mm thick; over 300mm wide; raking to soffits</t>
  </si>
  <si>
    <t>Plaster coving; generally; 125mm girth</t>
  </si>
  <si>
    <t>Plaster coving; corners</t>
  </si>
  <si>
    <t>Paint to plasterboard ceilings; Dulux _x0018_Pure brilliant White_x0019_ emulsion乳胶 or similar approved; over 300mm wide</t>
  </si>
  <si>
    <t>Paint to plasterboard ceilings; Dulux _x0018_Pure brilliant White_x0019_ emulsion乳胶 or similar approved; not exceeding 300mm wide</t>
  </si>
  <si>
    <t>Class C mirrors, silver backed, fixed to walls with adhesive pads; assumed to be 0.60 x 0.90m</t>
  </si>
  <si>
    <t>Class C mirrors, silver backed, fixed to walls with adhesive pads; 1.20 x 1.60m</t>
  </si>
  <si>
    <t>PAR softwood shelving units, with wall mounted battens, full depth; allowance for area of 2.00m2 each; generally</t>
  </si>
  <si>
    <t>Portable fire extinguishers; generally</t>
  </si>
  <si>
    <t>Fire blankets; generally</t>
  </si>
  <si>
    <t>Kitchen installations; generally</t>
  </si>
  <si>
    <t>Manhattan 40mm thick worktop or similar approved; as required to suit kitchens</t>
  </si>
  <si>
    <t>Manhattan 40mm thick worktop or similar approved; cut outs for sinks</t>
  </si>
  <si>
    <t>stainless steel single bowl and drainer of 0.9mm minimum thickness; Bristan Java single flow monoblock mixer (chrome); generally</t>
  </si>
  <si>
    <t>General directional signage; generally</t>
  </si>
  <si>
    <t>Fire signage systems, generally</t>
  </si>
  <si>
    <t>Above Ground Drainage Installations generally for the construction of the housing units; in accordance with the design criteria provided by the employer's representative - Units 1 and 2</t>
  </si>
  <si>
    <t>Above Ground Drainage Installations generally for the construction of the housing units; in accordance with the design criteria provided by the employer's representative - Units 3 and 4</t>
  </si>
  <si>
    <t>Above Ground Drainage Installations generally for the construction of the housing units; in accordance with the design criteria provided by the employer's representative - Units 5 to 9</t>
  </si>
  <si>
    <t>Above Ground Drainage Installations generally for the construction of the housing units; in accordance with the design criteria provided by the employer's representative - Unit 10</t>
  </si>
  <si>
    <t>Mechanical Installations; in accordance with the design criteria provided by the employer's representative - Units 1 and 2</t>
  </si>
  <si>
    <t>Mechanical Installations; in accordance with the design criteria provided by the employer's representative - Units 3 and 4</t>
  </si>
  <si>
    <t>Mechanical Installations; in accordance with the design criteria provided by the employer's representative - Units 5 to 9</t>
  </si>
  <si>
    <t>Mechanical Installations; in accordance with the design criteria provided by the employer's representative - Unit 10</t>
  </si>
  <si>
    <t>Electrical Installations; in accordance with the design criteria provided by the employer's representative - Units 1 and 2</t>
  </si>
  <si>
    <t>Electrical Installations; in accordance with the design criteria provided by the employer's representative - Units 3 and 4</t>
  </si>
  <si>
    <t>Electrical Installations; in accordance with the design criteria provided by the employer's representative - Units 5 to 9</t>
  </si>
  <si>
    <t>Electrical Installations; in accordance with the design criteria provided by the employer's representative - Unit 10</t>
  </si>
  <si>
    <t>Electrical Installations; lightning protection installation in accordance with the design criteria provided by the employer's representative</t>
  </si>
  <si>
    <t>Lift Installations; access lift; three floors served, ground, first and second floor; opening on one side; including all front enclosure</t>
  </si>
  <si>
    <t>Lift Installations; fire fighting lift if required</t>
  </si>
  <si>
    <t>Main Contractors Attendances / Works; Provision and installation of lifting beam fixed to structure as required</t>
  </si>
  <si>
    <t>Main Contractors Attendances / Works; Marking positions of and cutting or forming holes mortices and chases in the structure</t>
  </si>
  <si>
    <t>Painting copper pipework; not exceeding 300mm girth - Provisional Quantity</t>
  </si>
  <si>
    <t>Fire stopping works; generally; at locations of penetrations through internal walls</t>
  </si>
  <si>
    <t>Fire stopping works; generally; within cavities of external walls</t>
  </si>
  <si>
    <t>Fire stopping works; generally; penetrations in cavities to ceiling</t>
  </si>
  <si>
    <t>Air Sealing; provision of sealant and the like to all locations to achieve air sealing</t>
  </si>
  <si>
    <t>Builders work in connection with services; all BWIC for the electrical installations as defined by the performance specification for the electrical works</t>
  </si>
  <si>
    <t>Builders work in connection with services; all BWIC for the mechanical installations as defined by the performance specification for the mechanical works</t>
  </si>
  <si>
    <t>Builders work in connection with services; all BWIC for the above ground drainage and rainwater pipes as defined by the performance specification for the mechanical works</t>
  </si>
  <si>
    <t>Builders work in connection with services; all BWIC for the lightning protection installations as defined by the performance specification for the mechanical works</t>
  </si>
  <si>
    <t>Builders work in connection with services; provision of lightning protection rod pits and housing; Provisional Quantity</t>
  </si>
  <si>
    <t>Excavating Risk; soft spots; including filling all soft spots with approved granular fill material, compacting and proof rolling - to be priced as rate only per cubic metre</t>
  </si>
  <si>
    <t>Excavating Risk; archeological digging on site; complete including the risk of time loss and all elements pertaining to the archeological dig</t>
  </si>
  <si>
    <t>Excavating Risk; Extra over excavation irrespective of depth for excavating; next existing services - to be priced as rate only per cubic metre</t>
  </si>
  <si>
    <t>Excavating Risk; Extra over excavation irrespective of depth for excavating; around existing services crossing excavations - to be priced as rate only per cubic metre</t>
  </si>
  <si>
    <t>Excavating Risk; Extra over excavation irrespective of depth for breaking out and removal off site all spoils; rock - to be priced as rate only per cubic metre</t>
  </si>
  <si>
    <t>Excavating Risk; Extra over excavation irrespective of depth for breaking out and removal off site all spoils; concrete - to be priced as rate only per cubic metre</t>
  </si>
  <si>
    <t>Excavating Risk; Extra over excavation irrespective of depth for breaking out and removal off site all spoils; reinforced concrete - to be priced as rate only per cubic metre</t>
  </si>
  <si>
    <t>Excavating Risk; Extra over excavation irrespective of depth for breaking out and removal off site all spoils; brickwork blockwork or stonework - to be priced as rate only per cubic metre</t>
  </si>
  <si>
    <t>Excavating Risk; Extra over excavation irrespective of depth for breaking out and removal off site all spoils; contaminated material - to be priced as rate only per cubic metre</t>
  </si>
  <si>
    <t>Surface water; including the treatment of the water to remove all sediment; pollutants and the like before leaving the site perimeters; off site</t>
  </si>
  <si>
    <t>Surface water; including the treatment of the water to remove all sediment; pollutants and the like before leaving the site perimeters; Excavated material; soft spot material - to be priced as rate only per cubic metre of inert</t>
  </si>
  <si>
    <t>Surface water; including the treatment of the water to remove all sediment; pollutants and the like before leaving the site perimeters; Excavated material; extra over off site disposal for the disposal of contaminated material; Contractor to develop</t>
  </si>
  <si>
    <t>Excavating, Trenches; over 300mm wide, 1.00m maximum depth</t>
  </si>
  <si>
    <t>Excavating, Pits, tree pits 12 nr, 1.00m maximum depth</t>
  </si>
  <si>
    <t>Excavating pits</t>
  </si>
  <si>
    <t>Excavating trenches</t>
  </si>
  <si>
    <t>Earthwork support, To faces of excavation; 1.00m maximum depth; distance between opposing faces not exceeding 2.00m</t>
  </si>
  <si>
    <t>Excavated material; off site; it has been assumed all excavated material to be taken off site; to be treated as inert hazardous material</t>
  </si>
  <si>
    <t>Filling to excavations; over 250mm average thick</t>
  </si>
  <si>
    <t>Imported topsoil. Filling to make up levels; not exceeding 250mm average thick</t>
  </si>
  <si>
    <t>Imported topsoil. over 250mm average thick</t>
  </si>
  <si>
    <t>Compacting ground; generally</t>
  </si>
  <si>
    <t>Compacting bottoms of excavations; generally</t>
  </si>
  <si>
    <t>Blinding concrete; not exceeding 150mm thick</t>
  </si>
  <si>
    <t>Foundations; generally</t>
  </si>
  <si>
    <t>Formwork for in situ concrete, Sides of ground beams and edges of beds, 250 to 500mm high</t>
  </si>
  <si>
    <t>Formwork for in situ concrete, Sides of ground beams and edges of beds, 250 to 500mm high; curved on plan</t>
  </si>
  <si>
    <t>Steel fabric reinforcement to B.S.4483, generally, B785</t>
  </si>
  <si>
    <t>Dense aggregate blockwork; nominally 7.3 N/mm2 ion cement mortar; assumed to be 215mm thick</t>
  </si>
  <si>
    <t>Natural stone rubble walling, nominally 350mm thick</t>
  </si>
  <si>
    <t>Cappings to stone walls; generally</t>
  </si>
  <si>
    <t>Cappings to stone walls; generally; curved on plan</t>
  </si>
  <si>
    <t>External handrails; Assumed to be polyester powder coated galvanised mild steel handrails; fixed to masonry walls as required, raking</t>
  </si>
  <si>
    <t>External handrails; Extra over for, ends</t>
  </si>
  <si>
    <t>Pre cast concrete kerbs侧石, edgings and channels to B.S..340; bedding and flush jointing in cement mortar (1:3); plain concrete (1:3:6) foundations and haunching, kerbs, HB2</t>
  </si>
  <si>
    <t>Pre cast concrete kerbs侧石, edgings and channels to B.S..340; bedding and flush jointing in cement mortar (1:3); plain concrete (1:3:6) foundations and haunching, kerbs, HB2; curved on plan; radius over 12.00m</t>
  </si>
  <si>
    <t>Pre cast concrete kerbs侧石, edgings and channels to B.S..340; bedding and flush jointing in cement mortar (1:3); plain concrete (1:3:6) foundations and haunching, kerbs, BN; conservation format to match pavings</t>
  </si>
  <si>
    <t>Pre cast concrete kerbs侧石, edgings and channels to B.S..340; bedding and flush jointing in cement mortar (1:3); plain concrete (1:3:6) foundations and haunching, kerbs, BN; conservation format to match pavings; curved on plan; radius not exceeding 12.00m</t>
  </si>
  <si>
    <t>Pre cast concrete kerbs侧石, edgings and channels to B.S..340; bedding and flush jointing in cement mortar (1:3); plain concrete (1:3:6) foundations and haunching, kerbs, BN; conservation format to match pavings; curved on plan; radius over 12.00m</t>
  </si>
  <si>
    <t>Pre cast concrete kerbs侧石, edgings and channels to B.S..340; bedding and flush jointing in cement mortar (1:3); plain concrete (1:3:6) foundations and haunching, path edgings</t>
  </si>
  <si>
    <t>Pre cast concrete kerbs侧石, edgings and channels to B.S..340; bedding and flush jointing in cement mortar (1:3); plain concrete (1:3:6) foundations and haunching, path edgings; curved on plan</t>
  </si>
  <si>
    <t>Pre cast concrete kerbs侧石, edgings and channels to B.S..340; bedding and flush jointing in cement mortar (1:3); plain concrete (1:3:6) foundations and haunching, extra over for, drop kerbs; HB2 to BN</t>
  </si>
  <si>
    <t>Granular material, filling to make up levels, not exceeding 250mm average thick</t>
  </si>
  <si>
    <t>Granular material, filling to make up levels, over 250mm average thick</t>
  </si>
  <si>
    <t>Compacting filling, generally</t>
  </si>
  <si>
    <t>Reinforced concrete external slabs, beds, not exceeding 150mm thick</t>
  </si>
  <si>
    <t>Reinforced concrete external slabs, edges of beds, not exceeding 250mm high</t>
  </si>
  <si>
    <t>Steel fabric reinforcement to B.S..4483, reference A252</t>
  </si>
  <si>
    <t>Isolation joints; comprising of 25mm thick bitumen impregnated灌注 woodfibre board; with 25 x 25mm sealant to top, to suit 150mm thick slab</t>
  </si>
  <si>
    <t>Assumed to be brush and spade finish, generally</t>
  </si>
  <si>
    <t>Assumed to be 1000 gauge厚度 polythene聚乙烯 sheeting on and including 25mm of sand blinding, generally</t>
  </si>
  <si>
    <t>Tarmac road surfacing, Binder course open bin, level or to falls; 60mm thick</t>
  </si>
  <si>
    <t>Gravel margins, level or to falls; nominally 75mm thick</t>
  </si>
  <si>
    <t>Marshalls Tegular Block Paving Harvest or similar approved standard 200 x 100 x 80mm block pavings; level or to falls</t>
  </si>
  <si>
    <t>Block paving; to roads and parking bays, extra over for parking delineationlevel or to falls</t>
  </si>
  <si>
    <t>Comprising of Charcon or similar cropped finish granite blocks 100 x 100 x 100mm; bedding and pointing in Ultracrete flow point rapid setting mortar to concrete bed level or to falls</t>
  </si>
  <si>
    <t>Assumed to be Marshalls Saxon or similar approved standard 450 x 450 x 50mm block pavings; on and including 30mm thick sand laying bed; level or to falls; to roads</t>
  </si>
  <si>
    <t>Assumed to be Marshalls Saxon or similar approved standard 450 x 450 x 50mm block pavings; on and including 30mm thick sand laying bed; level or to falls; to pavements and access routes</t>
  </si>
  <si>
    <t>Assumed to be Marshalls Saxon or similar approved standard 450 x 450 x 50mm block pavings; on and including 30mm thick sand laying bed; level or to falls; to private pavements and access routes</t>
  </si>
  <si>
    <t>Paving slabs, extra over for, forming steps; set of two risers; nominally 900mm wide</t>
  </si>
  <si>
    <t>Paving slabs, extra over for, forming steps; set of five risers; nominally 900mm wide</t>
  </si>
  <si>
    <t>Paving slabs, extra over for, forming steps; set of eight risers; nominally 900mm wide</t>
  </si>
  <si>
    <t>Cultivating, surface of ground, nominally 100mm thick to seeded areas</t>
  </si>
  <si>
    <t>Cultivating, general surfaces; weed killer and fertiliser, generally</t>
  </si>
  <si>
    <t>Seeding, generally; amenity area grass seed</t>
  </si>
  <si>
    <t>Provision of maintenance of all soft landscaped areas; for a period of twelve months from Practical Completion or final planting works whichever is the latter; complete with all regular trimming, cutting and the like, generally</t>
  </si>
  <si>
    <t>Cultivating, surface of filling, topsoil, nominally 250mm deep - infill planting</t>
  </si>
  <si>
    <t>Cultivating, weed killer and fertiliser, generally</t>
  </si>
  <si>
    <t>Trees planting</t>
  </si>
  <si>
    <t>Softwood close boarded fencing, comprising of softwood feather edge boards 100 x 25mm; three 75 x 50mm rails and 100 x 100mm posts at 2.40m centres; timber gravel boards; 1200mm high</t>
  </si>
  <si>
    <t>Softwood close boarded fencing, comprising of softwood feather edge boards 100 x 25mm; three 75 x 50mm rails and 100 x 100mm posts at 2.40m centres; timber gravel boards; 1800mm high</t>
  </si>
  <si>
    <t>Softwood close boarded fencing, comprising of softwood feather edge boards 100 x 25mm; three 75 x 50mm rails and 100 x 100mm posts at 2.40m centres; timber gravel boards; 2000mm high, boundary fence</t>
  </si>
  <si>
    <t>Close boarded Fencing, single leaf gates, complete with additional posts and ironmongery, 1800mm high</t>
  </si>
  <si>
    <t>Set of approved cast iron gates; including posts, foundations, ironmongery and the like; assumed to be 1200mm high; nominally 1800mm wide</t>
  </si>
  <si>
    <t>Set of approved cast iron gates; including posts, foundations, ironmongery and the like; assumed to be 1200mm high; gate nominally 1200mm wide, with two sets of fencing to match nominally 300mm long each</t>
  </si>
  <si>
    <t>external seat, assumed to be of timber construction on galvanised steel frame; generally</t>
  </si>
  <si>
    <t>All works identified within the appended Drainage Standard Bill; which includes for all attendances, site surveys and investigations, generally</t>
  </si>
  <si>
    <t>Possible repairs to the existing drainage lines including revamping existing manholes to suit, generally</t>
  </si>
  <si>
    <t>Excavating trenches for drainage pipes; complete with the disposal of surplus materials; for pipes; not exceeding 200mm nominal diameter, average depth 500 to 750mm</t>
  </si>
  <si>
    <t>Excavating trenches for drainage pipes; complete with the disposal of surplus materials; beds and surrounds, to suit 100mm diameter pipe</t>
  </si>
  <si>
    <t>Below ground drainage pipe, approved PVC / Clay pipes, 100mm nominal size</t>
  </si>
  <si>
    <t>Below ground drainage pipe, bends, 100mm</t>
  </si>
  <si>
    <t>Below ground drainage pipe, rocker pipes, 100mm; to manholes</t>
  </si>
  <si>
    <t>Below ground drainage pipe, rest bends, 100mm; complete with concrete base</t>
  </si>
  <si>
    <t>Below ground drainage pipe, connection to soil pipes</t>
  </si>
  <si>
    <t>Marker tape, non degradable; red with black lettering, laid in trench 450mm above pipe</t>
  </si>
  <si>
    <t>Remove existing drainage installations, cap off and seal existing pipework</t>
  </si>
  <si>
    <t>Remove existing drainage installations, remove manholes; assumed to be masonry construction, assumed to be not exceeding 2.00m deep</t>
  </si>
  <si>
    <t>Excavating trenches for drainage pipes; average depth 750 to 1000mm - outside of site boundary</t>
  </si>
  <si>
    <t>Excavating trenches for drainage pipes; average depth 1000 to 1250mm</t>
  </si>
  <si>
    <t>Excavating trenches for drainage pipes; average depth 1250 to 1500mm</t>
  </si>
  <si>
    <t>Excavating trenches for drainage pipes; average depth 1500 to 1750mm</t>
  </si>
  <si>
    <t>Excavating trenches for drainage pipes; average depth 1750 to 2000mm</t>
  </si>
  <si>
    <t>Excavating trenches for drainage pipes; beds and surrounds, to suit 225mm diameter pipe</t>
  </si>
  <si>
    <t>UltraRib Twinwall plastic pipes , 225mm nominal size</t>
  </si>
  <si>
    <t>Below ground drainage pipe, bends, 225mm</t>
  </si>
  <si>
    <t>Below ground drainage pipe, rocker pipes, 225mm; to manholes</t>
  </si>
  <si>
    <t>Below ground drainage pipe, junction 100 x 225 x 225mm</t>
  </si>
  <si>
    <t>Below ground drainage pipe, junction 150 x 225 x 225mm</t>
  </si>
  <si>
    <t>Concrete manhole 1200mm diameter manhole; depth not exceeding 1250mm; assumed D400 recessed cover</t>
  </si>
  <si>
    <t>Concrete manhole 1200mm diameter manhole; depth not exceeding 1500mm; assumed D400 recessed cover</t>
  </si>
  <si>
    <t>Concrete manhole 1200mm diameter manhole; depth not exceeding 1750mm; assumed D400 recessed cover</t>
  </si>
  <si>
    <t>Concrete manhole 1200mm diameter manhole; depth not exceeding 2000mm; assumed D400 recessed cover</t>
  </si>
  <si>
    <t>Excavating trenches for drainage pipes; average depth 500 to 750mm</t>
  </si>
  <si>
    <t>Excavating trenches for drainage pipes; average depth 750 to 1000mm</t>
  </si>
  <si>
    <t>Excavating trenches for drainage pipes; beds an surrounds, to suit 100mm diameter pipe</t>
  </si>
  <si>
    <t>PVC / Clay pipes 100mm nominal size</t>
  </si>
  <si>
    <t>Below ground drainage pipe, external yard gully, complete with trap, grating and cover, bed and surround in concrete</t>
  </si>
  <si>
    <t>CCTV inspection to all pipelines, generally</t>
  </si>
  <si>
    <t>Testing of manholes and pipelines, generally</t>
  </si>
  <si>
    <t>Cleaning of pipelines, as required</t>
  </si>
  <si>
    <t>Operating and maintenance manuals, as required</t>
  </si>
  <si>
    <t>Record drawings, as required</t>
  </si>
  <si>
    <t>All works identified within the appended Drainage Standard Bill; generally</t>
  </si>
  <si>
    <t>Possible repairs to the existing drainage lines, generally</t>
  </si>
  <si>
    <t>ACO channels or equal other approved with ductile iron grating to load class D400; complete including excavation, disposal and concrete bed and surround,  generally; laid straight</t>
  </si>
  <si>
    <t>Extra over slotted drain system for: ends</t>
  </si>
  <si>
    <t>Extra over slotted drain system for: outlet connection 100mm diameter</t>
  </si>
  <si>
    <t>In situ concrete ST4 foundation to receive pennant / granite setts 200 x 100 x 100mm bedded and pointed in approved mortar; generally; laid straight</t>
  </si>
  <si>
    <t>Excavating trenches for drainage pipes; For pipes; not exceeding 200mm nominal diameter, average depth 750 to 1000mm</t>
  </si>
  <si>
    <t>Excavating trenches for drainage pipes; For pipes; not exceeding 200mm nominal diameter, average depth 1000 to 1250mm</t>
  </si>
  <si>
    <t>Excavating trenches for drainage pipes; For pipes; not exceeding 200mm nominal diameter, average depth 1250 to 1500mm</t>
  </si>
  <si>
    <t>Excavating trenches for drainage pipes; For pipes; 225mm nominal diameter, average depth 1250 to 1500mm</t>
  </si>
  <si>
    <t>Excavating trenches for drainage pipes; For pipes; 225mm nominal diameter, average depth 1500 to 1750mm</t>
  </si>
  <si>
    <t>Excavating trenches for drainage pipes; For pipes; 300mm nominal diameter, average depth 1250 to 1500mm</t>
  </si>
  <si>
    <t>Excavating trenches for drainage pipes; For pipes; 300mm nominal diameter, average depth 1500 to 1750mm</t>
  </si>
  <si>
    <t>Excavating trenches for drainage pipes; Beds and surrounds, to suit 100mm diameter pipe</t>
  </si>
  <si>
    <t>Excavating trenches for drainage pipes; Beds and surrounds, to suit 150mm diameter pipe</t>
  </si>
  <si>
    <t>Excavating trenches for drainage pipes; Beds and surrounds, to suit 225mm diameter pipe</t>
  </si>
  <si>
    <t>Excavating trenches for drainage pipes; Beds and surrounds, to suit 300mm diameter pipe</t>
  </si>
  <si>
    <t>Storm drainage, beds and surrounds, to suit 100mm diameter pipe</t>
  </si>
  <si>
    <t>Storm drainage, beds and surrounds, to suit 150mm diameter pipe</t>
  </si>
  <si>
    <t>Below ground drainage pipe, PVC / Clay pipes, 100mm nominal size</t>
  </si>
  <si>
    <t>Below ground drainage pipe, PVC / Clay pipes, 150mm nominal size</t>
  </si>
  <si>
    <t>Below ground drainage pipe, PVC / Clay pipes, 225mm nominal size</t>
  </si>
  <si>
    <t>Below ground drainage pipe, PVC / Clay pipes, 300mm nominal size</t>
  </si>
  <si>
    <t>Below ground drainage pipe, bends, 150mm</t>
  </si>
  <si>
    <t>Below ground drainage pipe, bends, 300mm</t>
  </si>
  <si>
    <t>Below ground drainage pipe, rocker pipes, 150mm; to manholes</t>
  </si>
  <si>
    <t>Below ground drainage pipe, rocker pipes, 300mm; to manholes</t>
  </si>
  <si>
    <t>Below ground drainage pipe, junctions, 100 x 100 x 100mm</t>
  </si>
  <si>
    <t>Below ground drainage pipe, junctions, 100 x 150 x 150mm</t>
  </si>
  <si>
    <t>Below ground drainage pipe, junctions, 100 x 225 x 225mm</t>
  </si>
  <si>
    <t>Below ground drainage pipe, junctions, 100 x 300 x 300mm</t>
  </si>
  <si>
    <t>Below ground drainage pipe, junctions, 150 x 150 x 150mm</t>
  </si>
  <si>
    <t>Below ground drainage pipe, junctions, 150 x 225 x 225mm</t>
  </si>
  <si>
    <t>Below ground drainage pipe, external yard gully, complete with trap, grating and cover, bed and surround in concrete; 150mm outlet</t>
  </si>
  <si>
    <t>Below ground drainage pipe, rodding eye, complete with frame and cover, bed and surround in concrete; 100mm outlet</t>
  </si>
  <si>
    <t>Below ground drainage pipe, connection to rainwater pipes</t>
  </si>
  <si>
    <t>Below ground drainage pipe, rest bend, complete with concrete bed and surround; 100mm</t>
  </si>
  <si>
    <t>Pre cast concrete road gully; to suit 150mm diameter outlet</t>
  </si>
  <si>
    <t>Marker tape, non degradable; red with black lettering; laid in trench 450mm above pipe</t>
  </si>
  <si>
    <t>Concrete manhole; 1200mm diameter manhole; depth not exceeding 1250mm; assumed D400 recessed cover</t>
  </si>
  <si>
    <t>Concrete manhole; 1200mm diameter manhole; depth not exceeding 1500mm; assumed D400 recessed cover</t>
  </si>
  <si>
    <t>Concrete manhole; 1200mm diameter manhole; depth not exceeding 1750mm; assumed D400 recessed cover</t>
  </si>
  <si>
    <t>Concrete manhole; 1200mm diameter manhole; depth not exceeding 2000mm; assumed D400 cover</t>
  </si>
  <si>
    <t>Athlon precast concrete headwall; 150mm diameter pipe outlet; depth to invert not exceeding 1.50m</t>
  </si>
  <si>
    <t>Athlon precast concrete headwall; 300mm diameter pipe outlet; depth to invert not exceeding 1.75m</t>
  </si>
  <si>
    <t>Excavating trenches for Water, services not exceeding 200mm; depth not exceeding 1250mm - Provisional Quantity</t>
  </si>
  <si>
    <t>Excavating trenches for Water, extra over for excavation in highways, including all works to breakout existing surfaces, make good and reinstate on completion of works, temporary fencing, diversions and the like</t>
  </si>
  <si>
    <t>Excavating trenches for Gas, services not exceeding 200mm; depth not exceeding 1250mm - Provisional Quantity</t>
  </si>
  <si>
    <t>Excavating trenches for Gas, extra over for excavation in highways, including all works to breakout existing surfaces, make good and reinstate on completion of works, temporary fencing, diversions and the like</t>
  </si>
  <si>
    <t>Surface water; including the treatment of the water to remove all sediment; pollutants and the like before leaving the site perimeters, generally</t>
  </si>
  <si>
    <t>Bed and surround; to water pipes, to suit one pipes nominal size not exceeding 100mm diameter - Provisional Quantity</t>
  </si>
  <si>
    <t>Bed and surround; to gas pipes, to suit one pipe nominal size not exceeding 100mm diameter - Provisional Quantity</t>
  </si>
  <si>
    <t>MDPE or Puriton ducts for Water supplies, 32mm diameter; or similar</t>
  </si>
  <si>
    <t>MDPE or Puriton ducts for Gas supplies, 63mm diameter; or similar</t>
  </si>
  <si>
    <t>Excavate pit for connection of water pipes; generally - Provisional Quantity</t>
  </si>
  <si>
    <t>Excavate pit for connection of gas pipes; generally</t>
  </si>
  <si>
    <t>Meters, gas - Provisional Quantity</t>
  </si>
  <si>
    <t>Meters, water - Provisional Quantity</t>
  </si>
  <si>
    <t>Site isolation valve and utility governor, gas - Provisional Quantity</t>
  </si>
  <si>
    <t>Identification tapes - ' WATER PIPE BELOW', generally - Provisional Quantity</t>
  </si>
  <si>
    <t>Identification tapes - ' GAS PIPE BELOW', generally - Provisional Quantity</t>
  </si>
  <si>
    <t>Excavating trenches for BT, services not exceeding 200mm; depth not exceeding 1250mm - Provisional Quantity; assumed to be two ducts</t>
  </si>
  <si>
    <t>Excavating trenches for BT, attendance on the relocation of telegraph pole</t>
  </si>
  <si>
    <t>Excavating trenches for data, services not exceeding 200mm; depth not exceeding 1250mm - Provisional Quantity</t>
  </si>
  <si>
    <t>Excavating trenches for power supplies, services not exceeding 200mm; depth not exceeding 1250mm - Provisional Quantity</t>
  </si>
  <si>
    <t>Excavating trenches for power supplies, services not exceeding 200mm; depth not exceeding 1250mm - Provisional Quantity - connections to buildings</t>
  </si>
  <si>
    <t>Excavating trenches for street lighting, services not exceeding 200mm; depth not exceeding 1250mm - no details</t>
  </si>
  <si>
    <t>Disposal, surface water, generally</t>
  </si>
  <si>
    <t>Bed and surround; to electrical cables, to suit single duct nominal size not exceeding 200mm diameter</t>
  </si>
  <si>
    <t>Bed and surround; to BT ducts, to suit single duct nominal size not exceeding 200mm diameter</t>
  </si>
  <si>
    <t>Bed and surround; to communications ducts, to suit single duct nominal size not exceeding 200mm diameter</t>
  </si>
  <si>
    <t>Bed and surround; to street lighting cables, to suit single duct nominal size not exceeding 200mm diameter - no details</t>
  </si>
  <si>
    <t>Ducts for Power supplies, 100mm diameter, or similar</t>
  </si>
  <si>
    <t>Ducts for BT supplies, 100mm diameter, or similar</t>
  </si>
  <si>
    <t>Ducts for communication supplies, 100mm diameter, or similar</t>
  </si>
  <si>
    <t>Ducts for street lighting supplies, 50mm diameter, or similar</t>
  </si>
  <si>
    <t>Excavate pit for connection of services; electrical - Provisional Quantity</t>
  </si>
  <si>
    <t>Excavate pit for connection of services; BT - Provisional Quantity</t>
  </si>
  <si>
    <t>Excavate pit for connection of services; communications - Provisional Quantity</t>
  </si>
  <si>
    <t>Excavate pit for connection of services; street lighting - no details</t>
  </si>
  <si>
    <t>Meters, power - Provisional Quantity</t>
  </si>
  <si>
    <t>Excavate pit for base to lighting standard; lighting standards - no details</t>
  </si>
  <si>
    <t>Identification tapes - 'POWER CABLE BELOW', generally</t>
  </si>
  <si>
    <t>Identification tapes - 'COMMUNICATION DUCTS BELOW', generally</t>
  </si>
  <si>
    <t>Utility Company costs for the provision of new gas supply, connecting from existing gas supplies to meter locations adjacent buildings as required</t>
  </si>
  <si>
    <t>Utility Company costs for the provision of new water supply, connecting existing mains water supply to meter locations for buildings supplies as required</t>
  </si>
  <si>
    <t>Utility Company costs for the provision of new electrical supply, connecting from existing electrical supply to meter locations for buildings supplies as required;</t>
  </si>
  <si>
    <t>Utility Company costs for the provision of new electrical supply, works to existing substation, including all diversion works and the like</t>
  </si>
  <si>
    <t>Utility Company(ies) costs for the provision of new telephone/data supplies, connecting from existing telephone/data supplies to connection points within the buildings as required</t>
  </si>
  <si>
    <t>Utility Company(ies) costs for the provision of new telephone/data supplies, allow for all works to relocate telegraph poles and associated diversion works</t>
  </si>
  <si>
    <t>Utility Company(ies) costs for the provision of new communication/data supplies, connecting from existing communication/data supplies to connection points within the buildings as required</t>
  </si>
  <si>
    <t>Bathrooms: toilets</t>
  </si>
  <si>
    <t>Bathroom shower bath</t>
  </si>
  <si>
    <t>Bathroom sink</t>
  </si>
  <si>
    <t>Bathroom tap</t>
  </si>
  <si>
    <t>Bathroom mirror</t>
  </si>
  <si>
    <t>Bathroom undersink cupboards</t>
  </si>
  <si>
    <t>toilet seats 2.75kg Urea formaldehyde, 0.5 stainless steel each</t>
  </si>
  <si>
    <t>Boiler</t>
  </si>
  <si>
    <t>Electrical Installations; Switches and sockets, 6 lightswitches and 10 sockets</t>
  </si>
  <si>
    <t>Light bulbs (candle, capsule, spotlights &amp; traditional shapes), all halogen 7</t>
  </si>
  <si>
    <t>Extractor fans (bathrooms)</t>
  </si>
  <si>
    <t>Kitchen cupboards</t>
  </si>
  <si>
    <t>Kitchen worktop</t>
  </si>
  <si>
    <t>Kitchen sink</t>
  </si>
  <si>
    <t>Kitchen tap</t>
  </si>
  <si>
    <t>Dishwasher</t>
  </si>
  <si>
    <t>Oven</t>
  </si>
  <si>
    <t>Gas hob, 4 ring</t>
  </si>
  <si>
    <t>Cooker hood</t>
  </si>
  <si>
    <t xml:space="preserve">Toaster </t>
  </si>
  <si>
    <t>Kettle</t>
  </si>
  <si>
    <t>Microwave</t>
  </si>
  <si>
    <t>Fridge</t>
  </si>
  <si>
    <t>Iron</t>
  </si>
  <si>
    <t>Washing machine</t>
  </si>
  <si>
    <t>Three seater sofa</t>
  </si>
  <si>
    <t>Televisions</t>
  </si>
  <si>
    <t>TV stand glass</t>
  </si>
  <si>
    <t>Dining table and chairs</t>
  </si>
  <si>
    <t>Bedroom wardrobes (2)</t>
  </si>
  <si>
    <t>Vacuum cleaner</t>
  </si>
  <si>
    <t>Curtains</t>
  </si>
  <si>
    <t>Double bed + mattress</t>
  </si>
  <si>
    <t>Water</t>
  </si>
  <si>
    <t>Electricity and gas</t>
  </si>
  <si>
    <t>1 m3 water = 1.9GBP</t>
  </si>
  <si>
    <t>Investment (£)</t>
  </si>
  <si>
    <t>Items</t>
  </si>
  <si>
    <t>Lifespan groups</t>
  </si>
  <si>
    <t>Cumulative investment (£)</t>
  </si>
  <si>
    <t>y1</t>
  </si>
  <si>
    <t>y2</t>
  </si>
  <si>
    <t>yhat</t>
  </si>
  <si>
    <t>k1</t>
  </si>
  <si>
    <t>b1</t>
  </si>
  <si>
    <t>k2</t>
  </si>
  <si>
    <t>b2</t>
  </si>
  <si>
    <t>errorsq</t>
  </si>
  <si>
    <t>sse</t>
  </si>
  <si>
    <t>Parameters</t>
  </si>
  <si>
    <t>Lifespan (years)</t>
  </si>
  <si>
    <t>Energy investment (MJ)</t>
  </si>
  <si>
    <t xml:space="preserve">Lifespan groups </t>
  </si>
  <si>
    <t>Cumulative energy investment (MJ)</t>
  </si>
  <si>
    <t>Cumulative investment (£/m2)</t>
  </si>
  <si>
    <t>EC (kgCO2e/kg)</t>
  </si>
  <si>
    <t xml:space="preserve">Embodied carbon/kg </t>
  </si>
  <si>
    <t>Steel bar?</t>
  </si>
  <si>
    <t>aerated brick</t>
  </si>
  <si>
    <t>(kgCO2/Sqm)</t>
  </si>
  <si>
    <t>(MJ/Sqm)</t>
  </si>
  <si>
    <t>double coat paint</t>
  </si>
  <si>
    <t>single coat paint</t>
  </si>
  <si>
    <t>Laminated Veener lumb</t>
  </si>
  <si>
    <t>particle board</t>
  </si>
  <si>
    <t>Polystyrene</t>
  </si>
  <si>
    <t>Expanded polystyrene</t>
  </si>
  <si>
    <t>pvc pipe</t>
  </si>
  <si>
    <t>https://www.jameshardie.co.uk/en/cladding/hardieplank-family/hardieplank</t>
  </si>
  <si>
    <t>kgCO2/m</t>
  </si>
  <si>
    <t>https://pad.doncaster.gov.uk/NPSPublicDocs/00516152.pdf</t>
  </si>
  <si>
    <t>(kgCO2/m)</t>
  </si>
  <si>
    <t>Polypropylene</t>
  </si>
  <si>
    <t>in situ concrete</t>
  </si>
  <si>
    <t>(kgCO2/m3)</t>
  </si>
  <si>
    <t>(kgCO2/m2)</t>
  </si>
  <si>
    <t>sandstone</t>
  </si>
  <si>
    <t>sand （should be well graded stone)</t>
  </si>
  <si>
    <t>https://www.fastbuildsupplies.co.uk/wall-ties-type-4?gclid=CjwKCAiA_eb-BRB2EiwAGBnXXsfX717HLgCyEm3ilD0yfmi95e7PLWBe5hq9BnutKrb5MA4EzvwUBhoCXBwQAvD_BwE</t>
  </si>
  <si>
    <t>kg/m2</t>
  </si>
  <si>
    <t>PU foam EE:</t>
  </si>
  <si>
    <t>PU foam density:</t>
  </si>
  <si>
    <t>PU foam thickness 10mm</t>
  </si>
  <si>
    <t>assumming diameter of steel wall tie is 5mm</t>
  </si>
  <si>
    <t>thickness=5mm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</si>
</sst>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Red]\-\£#,##0.00;\£#,##0.00"/>
    <numFmt numFmtId="165" formatCode="&quot;£&quot;#,##0.00;[Red]&quot;£&quot;#,##0.00"/>
    <numFmt numFmtId="166" formatCode="#,##0.0000_);[Red]\(#,##0.0000\)"/>
  </numFmts>
  <fonts count="10" x14ac:knownFonts="1">
    <font>
      <sz val="11"/>
      <color theme="1"/>
      <name val="Calibri"/>
      <family val="2"/>
      <scheme val="minor"/>
    </font>
    <font>
      <b/>
      <u/>
      <sz val="11"/>
      <color theme="1"/>
      <name val="Calibri"/>
      <family val="2"/>
      <scheme val="minor"/>
    </font>
    <font>
      <u/>
      <sz val="11"/>
      <color theme="10"/>
      <name val="Calibri"/>
      <family val="2"/>
      <scheme val="minor"/>
    </font>
    <font>
      <sz val="11"/>
      <color rgb="FF000000"/>
      <name val="Calibri"/>
      <family val="2"/>
      <scheme val="minor"/>
    </font>
    <font>
      <sz val="10"/>
      <color rgb="FF000000"/>
      <name val="Arial"/>
      <family val="2"/>
    </font>
    <font>
      <sz val="10"/>
      <name val="Arial"/>
      <family val="2"/>
    </font>
    <font>
      <sz val="11"/>
      <color rgb="FF000000"/>
      <name val="Arial"/>
      <family val="2"/>
    </font>
    <font>
      <sz val="9.9499999999999993"/>
      <color rgb="FF000000"/>
      <name val="Arial"/>
      <family val="2"/>
    </font>
    <font>
      <b/>
      <u/>
      <sz val="11"/>
      <color rgb="FF000000"/>
      <name val="Calibri"/>
      <family val="2"/>
      <scheme val="minor"/>
    </font>
    <font>
      <u/>
      <sz val="11"/>
      <color theme="1"/>
      <name val="Calibri"/>
      <family val="2"/>
      <scheme val="minor"/>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1" tint="0.499984740745262"/>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2">
    <xf numFmtId="0" fontId="0" fillId="0" borderId="0"/>
    <xf numFmtId="0" fontId="2" fillId="0" borderId="0" applyNumberFormat="0" applyFill="0" applyBorder="0" applyAlignment="0" applyProtection="0"/>
  </cellStyleXfs>
  <cellXfs count="58">
    <xf numFmtId="0" fontId="0" fillId="0" borderId="0" xfId="0"/>
    <xf numFmtId="0" fontId="2" fillId="0" borderId="0" xfId="1" applyFill="1" applyBorder="1"/>
    <xf numFmtId="0" fontId="0" fillId="0" borderId="0" xfId="0" applyFill="1" applyAlignment="1">
      <alignment vertical="top"/>
    </xf>
    <xf numFmtId="0" fontId="1" fillId="0" borderId="0" xfId="0" applyFont="1" applyFill="1" applyAlignment="1">
      <alignment horizontal="center" wrapText="1"/>
    </xf>
    <xf numFmtId="0" fontId="1" fillId="0" borderId="0" xfId="0" applyFont="1" applyFill="1" applyAlignment="1">
      <alignment horizontal="center"/>
    </xf>
    <xf numFmtId="164" fontId="1" fillId="0" borderId="0" xfId="0" applyNumberFormat="1" applyFont="1" applyFill="1" applyAlignment="1">
      <alignment horizontal="center"/>
    </xf>
    <xf numFmtId="0" fontId="1" fillId="0" borderId="0" xfId="0" applyFont="1" applyFill="1" applyAlignment="1">
      <alignment horizontal="left" vertical="center"/>
    </xf>
    <xf numFmtId="0" fontId="0" fillId="0" borderId="0" xfId="0" applyFill="1" applyAlignment="1">
      <alignment horizontal="left" vertical="center"/>
    </xf>
    <xf numFmtId="0" fontId="0" fillId="0" borderId="0" xfId="0" applyFill="1"/>
    <xf numFmtId="49" fontId="0" fillId="0" borderId="0" xfId="0" applyNumberFormat="1" applyFill="1" applyAlignment="1">
      <alignment vertical="top"/>
    </xf>
    <xf numFmtId="49" fontId="0" fillId="0" borderId="0" xfId="0" applyNumberFormat="1" applyFill="1" applyAlignment="1">
      <alignment horizontal="left" wrapText="1" indent="2"/>
    </xf>
    <xf numFmtId="49" fontId="0" fillId="0" borderId="0" xfId="0" applyNumberFormat="1" applyFill="1" applyAlignment="1">
      <alignment horizontal="right"/>
    </xf>
    <xf numFmtId="164" fontId="0" fillId="0" borderId="0" xfId="0" applyNumberFormat="1" applyFill="1"/>
    <xf numFmtId="0" fontId="3" fillId="0" borderId="0" xfId="0" applyFont="1" applyFill="1"/>
    <xf numFmtId="164" fontId="0" fillId="0" borderId="0" xfId="0" applyNumberFormat="1" applyFill="1" applyAlignment="1">
      <alignment horizontal="right"/>
    </xf>
    <xf numFmtId="49" fontId="1" fillId="0" borderId="0" xfId="0" applyNumberFormat="1" applyFont="1" applyFill="1" applyAlignment="1">
      <alignment wrapText="1"/>
    </xf>
    <xf numFmtId="0" fontId="0" fillId="0" borderId="0" xfId="0" applyFill="1" applyAlignment="1">
      <alignment horizontal="right"/>
    </xf>
    <xf numFmtId="0" fontId="4" fillId="0" borderId="0" xfId="0" applyFont="1" applyFill="1" applyAlignment="1" applyProtection="1">
      <alignment horizontal="left" wrapText="1" indent="5"/>
      <protection locked="0"/>
    </xf>
    <xf numFmtId="165" fontId="0" fillId="0" borderId="0" xfId="0" applyNumberFormat="1" applyFill="1"/>
    <xf numFmtId="2" fontId="7" fillId="0" borderId="0" xfId="0" applyNumberFormat="1" applyFont="1" applyFill="1" applyProtection="1">
      <protection locked="0"/>
    </xf>
    <xf numFmtId="2" fontId="6" fillId="0" borderId="0" xfId="0" applyNumberFormat="1" applyFont="1" applyFill="1"/>
    <xf numFmtId="0" fontId="4" fillId="0" borderId="0" xfId="0" applyFont="1" applyFill="1" applyAlignment="1" applyProtection="1">
      <alignment horizontal="left" vertical="top" wrapText="1" indent="5"/>
      <protection locked="0"/>
    </xf>
    <xf numFmtId="0" fontId="4" fillId="0" borderId="0" xfId="0" applyFont="1" applyFill="1" applyAlignment="1">
      <alignment horizontal="left" vertical="top" wrapText="1" indent="5"/>
    </xf>
    <xf numFmtId="0" fontId="4" fillId="0" borderId="0" xfId="0" applyFont="1" applyFill="1" applyProtection="1">
      <protection locked="0"/>
    </xf>
    <xf numFmtId="0" fontId="4" fillId="0" borderId="0" xfId="0" applyFont="1" applyFill="1"/>
    <xf numFmtId="0" fontId="4" fillId="0" borderId="0" xfId="0" applyFont="1" applyFill="1" applyAlignment="1">
      <alignment horizontal="left" wrapText="1" indent="5"/>
    </xf>
    <xf numFmtId="0" fontId="4" fillId="0" borderId="0" xfId="0" applyFont="1" applyFill="1" applyAlignment="1">
      <alignment horizontal="left" indent="5"/>
    </xf>
    <xf numFmtId="0" fontId="5" fillId="0" borderId="0" xfId="0" applyFont="1" applyFill="1" applyAlignment="1" applyProtection="1">
      <alignment horizontal="left" vertical="top" wrapText="1" indent="5"/>
      <protection locked="0"/>
    </xf>
    <xf numFmtId="0" fontId="5" fillId="0" borderId="0" xfId="0" applyFont="1" applyFill="1"/>
    <xf numFmtId="0" fontId="5" fillId="0" borderId="0" xfId="0" applyFont="1" applyFill="1" applyProtection="1">
      <protection locked="0"/>
    </xf>
    <xf numFmtId="0" fontId="4" fillId="0" borderId="0" xfId="0" applyFont="1" applyFill="1" applyAlignment="1" applyProtection="1">
      <alignment horizontal="left" wrapText="1" indent="4"/>
      <protection locked="0"/>
    </xf>
    <xf numFmtId="0" fontId="3" fillId="0" borderId="0" xfId="0" applyFont="1" applyFill="1" applyAlignment="1">
      <alignment wrapText="1"/>
    </xf>
    <xf numFmtId="0" fontId="0" fillId="0" borderId="0" xfId="0" applyFill="1" applyAlignment="1">
      <alignment wrapText="1"/>
    </xf>
    <xf numFmtId="164" fontId="8" fillId="0" borderId="0" xfId="0" applyNumberFormat="1" applyFont="1" applyFill="1" applyAlignment="1">
      <alignment horizontal="center"/>
    </xf>
    <xf numFmtId="0" fontId="3" fillId="0" borderId="0" xfId="0" applyFont="1" applyFill="1" applyAlignment="1">
      <alignment horizontal="left" vertical="center"/>
    </xf>
    <xf numFmtId="0" fontId="0" fillId="0" borderId="4" xfId="0" applyFill="1" applyBorder="1"/>
    <xf numFmtId="0" fontId="0" fillId="0" borderId="5" xfId="0" applyFill="1" applyBorder="1"/>
    <xf numFmtId="0" fontId="0" fillId="0" borderId="6" xfId="0" applyFill="1" applyBorder="1"/>
    <xf numFmtId="0" fontId="0" fillId="0" borderId="1" xfId="0" applyFill="1" applyBorder="1"/>
    <xf numFmtId="164" fontId="3" fillId="0" borderId="0" xfId="0" applyNumberFormat="1" applyFont="1" applyFill="1"/>
    <xf numFmtId="0" fontId="0" fillId="0" borderId="2" xfId="0" applyFill="1" applyBorder="1"/>
    <xf numFmtId="11" fontId="0" fillId="0" borderId="0" xfId="0" applyNumberFormat="1" applyFill="1"/>
    <xf numFmtId="166" fontId="0" fillId="0" borderId="3" xfId="0" applyNumberFormat="1" applyFill="1" applyBorder="1"/>
    <xf numFmtId="166" fontId="0" fillId="0" borderId="0" xfId="0" applyNumberFormat="1" applyFill="1"/>
    <xf numFmtId="40" fontId="0" fillId="0" borderId="0" xfId="0" applyNumberFormat="1" applyFill="1"/>
    <xf numFmtId="11" fontId="0" fillId="0" borderId="1" xfId="0" applyNumberFormat="1" applyFill="1" applyBorder="1"/>
    <xf numFmtId="0" fontId="9" fillId="0" borderId="0" xfId="0" applyFont="1" applyFill="1"/>
    <xf numFmtId="0" fontId="0" fillId="0" borderId="7" xfId="0" applyFill="1" applyBorder="1"/>
    <xf numFmtId="164" fontId="0" fillId="0" borderId="8" xfId="0" applyNumberFormat="1" applyFill="1" applyBorder="1"/>
    <xf numFmtId="40" fontId="0" fillId="0" borderId="8" xfId="0" applyNumberFormat="1" applyFill="1" applyBorder="1"/>
    <xf numFmtId="0" fontId="0" fillId="0" borderId="8" xfId="0" applyFill="1" applyBorder="1"/>
    <xf numFmtId="11" fontId="0" fillId="0" borderId="8" xfId="0" applyNumberFormat="1" applyFill="1" applyBorder="1"/>
    <xf numFmtId="164" fontId="3" fillId="0" borderId="0" xfId="0" applyNumberFormat="1" applyFont="1" applyFill="1" applyAlignment="1">
      <alignment horizontal="right"/>
    </xf>
    <xf numFmtId="0" fontId="0" fillId="0" borderId="3" xfId="0" applyFill="1" applyBorder="1"/>
    <xf numFmtId="0" fontId="0" fillId="0" borderId="9" xfId="0" applyFill="1" applyBorder="1"/>
    <xf numFmtId="0" fontId="0" fillId="0" borderId="11" xfId="0" applyFill="1" applyBorder="1"/>
    <xf numFmtId="0" fontId="0" fillId="0" borderId="10" xfId="0" applyFill="1" applyBorder="1"/>
    <xf numFmtId="0" fontId="2" fillId="0" borderId="11" xfId="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astbuildsupplies.co.uk/wall-ties-type-4?gclid=CjwKCAiA_eb-BRB2EiwAGBnXXsfX717HLgCyEm3ilD0yfmi95e7PLWBe5hq9BnutKrb5MA4EzvwUBhoCXBwQAvD_BwE" TargetMode="External"/><Relationship Id="rId1" Type="http://schemas.openxmlformats.org/officeDocument/2006/relationships/hyperlink" Target="https://iglintels.com/product/l1s-10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pad.doncaster.gov.uk/NPSPublicDocs/00516152.pdf" TargetMode="External"/><Relationship Id="rId2" Type="http://schemas.openxmlformats.org/officeDocument/2006/relationships/hyperlink" Target="https://www.jameshardie.co.uk/en/cladding/hardieplank-family/hardieplank" TargetMode="External"/><Relationship Id="rId1" Type="http://schemas.openxmlformats.org/officeDocument/2006/relationships/hyperlink" Target="https://iglintels.com/product/l1s-1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52"/>
  <sheetViews>
    <sheetView topLeftCell="A3" zoomScale="125" zoomScaleNormal="100" workbookViewId="0">
      <pane ySplit="2" topLeftCell="A5" activePane="bottomLeft" state="frozen"/>
      <selection activeCell="A3" sqref="A3"/>
      <selection pane="bottomLeft" activeCell="A3" sqref="A1:XFD1048576"/>
    </sheetView>
  </sheetViews>
  <sheetFormatPr baseColWidth="10" defaultColWidth="8.83203125" defaultRowHeight="15" x14ac:dyDescent="0.2"/>
  <cols>
    <col min="1" max="1" width="2.83203125" style="2" bestFit="1" customWidth="1"/>
    <col min="2" max="2" width="45.6640625" style="32" customWidth="1"/>
    <col min="3" max="3" width="6" style="8" bestFit="1" customWidth="1"/>
    <col min="4" max="4" width="6.1640625" style="16" bestFit="1" customWidth="1"/>
    <col min="5" max="5" width="10.1640625" style="12" bestFit="1" customWidth="1"/>
    <col min="6" max="6" width="11.1640625" style="12" bestFit="1" customWidth="1"/>
    <col min="7" max="7" width="9" style="8" customWidth="1"/>
    <col min="8" max="9" width="8.83203125" style="8"/>
    <col min="10" max="10" width="10" style="8" customWidth="1"/>
    <col min="11" max="11" width="6.5" style="8" customWidth="1"/>
    <col min="12" max="12" width="13.5" style="8" customWidth="1"/>
    <col min="13" max="13" width="7.33203125" style="8" customWidth="1"/>
    <col min="14" max="15" width="7.6640625" style="8" customWidth="1"/>
    <col min="16" max="16" width="12.1640625" style="8" customWidth="1"/>
    <col min="17" max="17" width="11.33203125" style="8" bestFit="1" customWidth="1"/>
    <col min="18" max="18" width="10.5" style="8" customWidth="1"/>
    <col min="19" max="16384" width="8.83203125" style="8"/>
  </cols>
  <sheetData>
    <row r="1" spans="1:19" ht="16" x14ac:dyDescent="0.2">
      <c r="B1" s="3" t="s">
        <v>0</v>
      </c>
      <c r="C1" s="4" t="s">
        <v>1</v>
      </c>
      <c r="D1" s="4" t="s">
        <v>2</v>
      </c>
      <c r="E1" s="5" t="s">
        <v>3</v>
      </c>
      <c r="F1" s="5" t="s">
        <v>4</v>
      </c>
      <c r="G1" s="6" t="s">
        <v>95</v>
      </c>
      <c r="H1" s="7"/>
      <c r="I1" s="7"/>
      <c r="J1" s="8" t="s">
        <v>106</v>
      </c>
      <c r="K1" s="8" t="s">
        <v>107</v>
      </c>
      <c r="L1" s="8" t="s">
        <v>111</v>
      </c>
      <c r="M1" s="8" t="s">
        <v>109</v>
      </c>
      <c r="P1" s="8" t="s">
        <v>110</v>
      </c>
    </row>
    <row r="2" spans="1:19" ht="32" x14ac:dyDescent="0.2">
      <c r="A2" s="9" t="s">
        <v>6</v>
      </c>
      <c r="B2" s="10" t="s">
        <v>32</v>
      </c>
      <c r="C2" s="8">
        <v>1</v>
      </c>
      <c r="D2" s="11" t="s">
        <v>7</v>
      </c>
      <c r="E2" s="12">
        <v>70500</v>
      </c>
      <c r="F2" s="12">
        <v>70500</v>
      </c>
      <c r="G2" s="8">
        <v>1</v>
      </c>
      <c r="H2" s="8">
        <v>1</v>
      </c>
      <c r="I2" s="8">
        <v>1</v>
      </c>
    </row>
    <row r="3" spans="1:19" ht="16" x14ac:dyDescent="0.2">
      <c r="B3" s="3" t="s">
        <v>0</v>
      </c>
      <c r="C3" s="4" t="s">
        <v>1</v>
      </c>
      <c r="D3" s="4" t="s">
        <v>2</v>
      </c>
      <c r="E3" s="5" t="s">
        <v>3</v>
      </c>
      <c r="F3" s="5" t="s">
        <v>4</v>
      </c>
      <c r="G3" s="6" t="s">
        <v>95</v>
      </c>
      <c r="H3" s="7"/>
      <c r="I3" s="7"/>
      <c r="J3" s="8" t="s">
        <v>106</v>
      </c>
      <c r="K3" s="8" t="s">
        <v>107</v>
      </c>
      <c r="L3" s="8" t="s">
        <v>111</v>
      </c>
      <c r="M3" s="8" t="s">
        <v>109</v>
      </c>
      <c r="P3" s="8" t="s">
        <v>110</v>
      </c>
    </row>
    <row r="4" spans="1:19" ht="32" x14ac:dyDescent="0.2">
      <c r="A4" s="9" t="s">
        <v>11</v>
      </c>
      <c r="B4" s="10" t="s">
        <v>147</v>
      </c>
      <c r="C4" s="8">
        <v>279</v>
      </c>
      <c r="D4" s="11" t="s">
        <v>33</v>
      </c>
      <c r="E4" s="12">
        <v>3.24</v>
      </c>
      <c r="F4" s="12">
        <v>903.96</v>
      </c>
      <c r="G4" s="8">
        <v>500</v>
      </c>
      <c r="H4" s="8">
        <v>750</v>
      </c>
      <c r="I4" s="8">
        <v>1000</v>
      </c>
      <c r="K4" s="8">
        <v>2050</v>
      </c>
      <c r="L4" s="8" t="s">
        <v>108</v>
      </c>
      <c r="M4" s="8">
        <v>0.15</v>
      </c>
      <c r="N4" s="8">
        <v>0.45</v>
      </c>
      <c r="O4" s="8">
        <v>0.73</v>
      </c>
      <c r="P4" s="8">
        <f>K4*C4*M4</f>
        <v>85792.5</v>
      </c>
      <c r="Q4" s="8">
        <f>K4*C4*N4</f>
        <v>257377.5</v>
      </c>
      <c r="R4" s="8">
        <f>K4*C4*O4</f>
        <v>417523.5</v>
      </c>
      <c r="S4" s="8">
        <f>Q4/F4</f>
        <v>284.72222222222223</v>
      </c>
    </row>
    <row r="5" spans="1:19" ht="48" x14ac:dyDescent="0.2">
      <c r="A5" s="9" t="s">
        <v>12</v>
      </c>
      <c r="B5" s="10" t="s">
        <v>148</v>
      </c>
      <c r="C5" s="8">
        <v>140</v>
      </c>
      <c r="D5" s="11" t="s">
        <v>33</v>
      </c>
      <c r="E5" s="12">
        <v>35.65</v>
      </c>
      <c r="F5" s="12">
        <v>4991</v>
      </c>
      <c r="G5" s="8">
        <v>1</v>
      </c>
      <c r="H5" s="8">
        <v>1</v>
      </c>
      <c r="I5" s="8">
        <v>1</v>
      </c>
      <c r="K5" s="8">
        <v>2050</v>
      </c>
      <c r="L5" s="8" t="s">
        <v>108</v>
      </c>
      <c r="M5" s="8">
        <v>0.15</v>
      </c>
      <c r="N5" s="8">
        <v>0.45</v>
      </c>
      <c r="O5" s="8">
        <v>0.73</v>
      </c>
      <c r="P5" s="8">
        <f>K5*C5*M5</f>
        <v>43050</v>
      </c>
      <c r="Q5" s="8">
        <f>K5*C5*N5</f>
        <v>129150</v>
      </c>
      <c r="R5" s="8">
        <f>K5*C5*O5</f>
        <v>209510</v>
      </c>
      <c r="S5" s="8">
        <f>Q5/F5</f>
        <v>25.876577840112201</v>
      </c>
    </row>
    <row r="6" spans="1:19" ht="32" x14ac:dyDescent="0.2">
      <c r="A6" s="9" t="s">
        <v>13</v>
      </c>
      <c r="B6" s="10" t="s">
        <v>149</v>
      </c>
      <c r="C6" s="8">
        <v>140</v>
      </c>
      <c r="D6" s="11" t="s">
        <v>33</v>
      </c>
      <c r="E6" s="12">
        <v>6.48</v>
      </c>
      <c r="F6" s="12">
        <v>907.2</v>
      </c>
      <c r="G6" s="8">
        <v>1</v>
      </c>
      <c r="H6" s="8">
        <v>1</v>
      </c>
      <c r="I6" s="8">
        <v>1</v>
      </c>
      <c r="K6" s="8">
        <v>2050</v>
      </c>
      <c r="L6" s="8" t="s">
        <v>108</v>
      </c>
      <c r="M6" s="8">
        <v>0.15</v>
      </c>
      <c r="N6" s="8">
        <v>0.45</v>
      </c>
      <c r="O6" s="8">
        <v>0.73</v>
      </c>
      <c r="P6" s="8">
        <f>K6*C6*M6</f>
        <v>43050</v>
      </c>
      <c r="Q6" s="8">
        <f>K6*C6*N6</f>
        <v>129150</v>
      </c>
      <c r="R6" s="8">
        <f>K6*O6*C6</f>
        <v>209510</v>
      </c>
      <c r="S6" s="8">
        <f>Q6/F6</f>
        <v>142.36111111111111</v>
      </c>
    </row>
    <row r="7" spans="1:19" ht="32" x14ac:dyDescent="0.2">
      <c r="A7" s="9" t="s">
        <v>14</v>
      </c>
      <c r="B7" s="10" t="s">
        <v>150</v>
      </c>
      <c r="C7" s="8">
        <v>140</v>
      </c>
      <c r="D7" s="11" t="s">
        <v>33</v>
      </c>
      <c r="E7" s="12">
        <v>8.64</v>
      </c>
      <c r="F7" s="12">
        <v>1209.5999999999999</v>
      </c>
      <c r="G7" s="8">
        <v>1</v>
      </c>
      <c r="H7" s="8">
        <v>1</v>
      </c>
      <c r="I7" s="8">
        <v>1</v>
      </c>
      <c r="K7" s="8">
        <v>2050</v>
      </c>
      <c r="L7" s="8" t="s">
        <v>108</v>
      </c>
      <c r="M7" s="8">
        <v>0.15</v>
      </c>
      <c r="N7" s="8">
        <v>0.45</v>
      </c>
      <c r="O7" s="8">
        <v>0.73</v>
      </c>
      <c r="P7" s="8">
        <v>43050</v>
      </c>
      <c r="Q7" s="8">
        <v>129150</v>
      </c>
      <c r="R7" s="8">
        <v>209510</v>
      </c>
      <c r="S7" s="8">
        <f>Q7/F7</f>
        <v>106.77083333333334</v>
      </c>
    </row>
    <row r="8" spans="1:19" ht="16" x14ac:dyDescent="0.2">
      <c r="A8" s="9" t="s">
        <v>15</v>
      </c>
      <c r="B8" s="10" t="s">
        <v>151</v>
      </c>
      <c r="C8" s="8">
        <v>2678</v>
      </c>
      <c r="D8" s="11" t="s">
        <v>35</v>
      </c>
      <c r="E8" s="12">
        <v>0.76</v>
      </c>
      <c r="F8" s="12">
        <v>2035.28</v>
      </c>
      <c r="G8" s="8">
        <v>1</v>
      </c>
      <c r="H8" s="8">
        <v>1</v>
      </c>
      <c r="I8" s="8">
        <v>1</v>
      </c>
      <c r="J8" s="8">
        <f>C8*0.2</f>
        <v>535.6</v>
      </c>
      <c r="K8" s="8">
        <v>2050</v>
      </c>
      <c r="L8" s="8" t="s">
        <v>108</v>
      </c>
      <c r="M8" s="8">
        <v>0.15</v>
      </c>
      <c r="N8" s="8">
        <v>0.45</v>
      </c>
      <c r="O8" s="8">
        <v>0.73</v>
      </c>
      <c r="P8" s="8">
        <f>K8*J8*M8</f>
        <v>164697</v>
      </c>
      <c r="Q8" s="8">
        <f>K8*J8*N8</f>
        <v>494091</v>
      </c>
      <c r="R8" s="8">
        <f>K8*J8*O8</f>
        <v>801525.4</v>
      </c>
      <c r="S8" s="8" t="s">
        <v>112</v>
      </c>
    </row>
    <row r="9" spans="1:19" ht="48" x14ac:dyDescent="0.2">
      <c r="A9" s="9" t="s">
        <v>17</v>
      </c>
      <c r="B9" s="10" t="s">
        <v>152</v>
      </c>
      <c r="C9" s="8">
        <v>1</v>
      </c>
      <c r="D9" s="11" t="s">
        <v>7</v>
      </c>
      <c r="E9" s="12">
        <v>199.84</v>
      </c>
      <c r="F9" s="12">
        <v>199.84</v>
      </c>
      <c r="G9" s="8">
        <v>1</v>
      </c>
      <c r="H9" s="8">
        <v>1</v>
      </c>
      <c r="I9" s="8">
        <v>1</v>
      </c>
    </row>
    <row r="10" spans="1:19" ht="32" x14ac:dyDescent="0.2">
      <c r="A10" s="9" t="s">
        <v>6</v>
      </c>
      <c r="B10" s="10" t="s">
        <v>153</v>
      </c>
      <c r="C10" s="8">
        <v>348</v>
      </c>
      <c r="D10" s="11" t="s">
        <v>33</v>
      </c>
      <c r="E10" s="12">
        <v>6.48</v>
      </c>
      <c r="F10" s="12">
        <v>2255.04</v>
      </c>
      <c r="G10" s="8">
        <v>100</v>
      </c>
      <c r="H10" s="8">
        <v>150</v>
      </c>
      <c r="I10" s="8">
        <v>200</v>
      </c>
      <c r="K10" s="8">
        <v>2300</v>
      </c>
      <c r="L10" s="8" t="s">
        <v>79</v>
      </c>
      <c r="M10" s="8">
        <v>0.77</v>
      </c>
      <c r="N10" s="8">
        <v>0.85</v>
      </c>
      <c r="O10" s="8">
        <v>0.91</v>
      </c>
      <c r="P10" s="8">
        <f>K10*C10*M10</f>
        <v>616308</v>
      </c>
      <c r="Q10" s="8">
        <f>K10*C10*N10</f>
        <v>680340</v>
      </c>
      <c r="R10" s="8">
        <f>C10*K10*O10</f>
        <v>728364</v>
      </c>
      <c r="S10" s="8" t="s">
        <v>113</v>
      </c>
    </row>
    <row r="11" spans="1:19" ht="32" x14ac:dyDescent="0.2">
      <c r="A11" s="9" t="s">
        <v>9</v>
      </c>
      <c r="B11" s="10" t="s">
        <v>154</v>
      </c>
      <c r="C11" s="8">
        <v>2</v>
      </c>
      <c r="D11" s="11" t="s">
        <v>33</v>
      </c>
      <c r="E11" s="12">
        <v>12.96</v>
      </c>
      <c r="F11" s="12">
        <v>25.92</v>
      </c>
      <c r="G11" s="8">
        <v>100</v>
      </c>
      <c r="H11" s="8">
        <v>150</v>
      </c>
      <c r="I11" s="8">
        <v>200</v>
      </c>
      <c r="K11" s="8">
        <v>2300</v>
      </c>
      <c r="M11" s="8">
        <v>0.77</v>
      </c>
      <c r="N11" s="8">
        <v>0.85</v>
      </c>
      <c r="O11" s="8">
        <v>0.91</v>
      </c>
      <c r="P11" s="8">
        <f>K11*C11*M11</f>
        <v>3542</v>
      </c>
      <c r="Q11" s="8">
        <f>K11*C11*N11</f>
        <v>3910</v>
      </c>
      <c r="R11" s="8">
        <f>C11*K11*O11</f>
        <v>4186</v>
      </c>
      <c r="S11" s="8" t="s">
        <v>113</v>
      </c>
    </row>
    <row r="12" spans="1:19" ht="48" x14ac:dyDescent="0.2">
      <c r="A12" s="9" t="s">
        <v>10</v>
      </c>
      <c r="B12" s="10" t="s">
        <v>155</v>
      </c>
      <c r="C12" s="8">
        <v>4</v>
      </c>
      <c r="D12" s="11" t="s">
        <v>35</v>
      </c>
      <c r="E12" s="12">
        <v>6.48</v>
      </c>
      <c r="F12" s="12">
        <v>25.92</v>
      </c>
      <c r="G12" s="8">
        <v>1</v>
      </c>
      <c r="H12" s="8">
        <v>1</v>
      </c>
      <c r="I12" s="8">
        <v>1</v>
      </c>
      <c r="K12" s="8">
        <v>2050</v>
      </c>
      <c r="L12" s="8" t="s">
        <v>108</v>
      </c>
      <c r="M12" s="8">
        <v>0.15</v>
      </c>
      <c r="N12" s="8">
        <v>0.45</v>
      </c>
      <c r="O12" s="8">
        <v>0.73</v>
      </c>
      <c r="P12" s="8">
        <f>K12*M12*C12</f>
        <v>1230</v>
      </c>
      <c r="Q12" s="8">
        <f>N12*K12*C12</f>
        <v>3690</v>
      </c>
      <c r="R12" s="8">
        <f>K12*O12*C12</f>
        <v>5986</v>
      </c>
      <c r="S12" s="8">
        <f>Q12/F12</f>
        <v>142.36111111111111</v>
      </c>
    </row>
    <row r="13" spans="1:19" ht="48" x14ac:dyDescent="0.2">
      <c r="A13" s="9" t="s">
        <v>11</v>
      </c>
      <c r="B13" s="10" t="s">
        <v>156</v>
      </c>
      <c r="C13" s="8">
        <v>980</v>
      </c>
      <c r="D13" s="11" t="s">
        <v>35</v>
      </c>
      <c r="E13" s="12">
        <v>4.32</v>
      </c>
      <c r="F13" s="12">
        <v>4233.6000000000004</v>
      </c>
      <c r="G13" s="8">
        <v>1</v>
      </c>
      <c r="H13" s="8">
        <v>1</v>
      </c>
      <c r="I13" s="8">
        <v>1</v>
      </c>
      <c r="K13" s="8">
        <v>2050</v>
      </c>
      <c r="L13" s="8" t="s">
        <v>108</v>
      </c>
      <c r="M13" s="8">
        <v>0.15</v>
      </c>
      <c r="N13" s="8">
        <v>0.45</v>
      </c>
      <c r="O13" s="8">
        <v>0.73</v>
      </c>
      <c r="P13" s="8">
        <f>M13*K13*C13</f>
        <v>301350</v>
      </c>
      <c r="Q13" s="8">
        <f>N13*K13*C13</f>
        <v>904050</v>
      </c>
      <c r="R13" s="8">
        <f>O13*K13*C13</f>
        <v>1466570</v>
      </c>
      <c r="S13" s="8">
        <f>Q13/F13</f>
        <v>213.54166666666666</v>
      </c>
    </row>
    <row r="14" spans="1:19" ht="32" customHeight="1" x14ac:dyDescent="0.2">
      <c r="A14" s="9" t="s">
        <v>12</v>
      </c>
      <c r="B14" s="10" t="s">
        <v>157</v>
      </c>
      <c r="C14" s="8">
        <v>980</v>
      </c>
      <c r="D14" s="11" t="s">
        <v>35</v>
      </c>
      <c r="E14" s="12">
        <v>3.24</v>
      </c>
      <c r="F14" s="12">
        <v>3175.2</v>
      </c>
      <c r="G14" s="8">
        <v>100</v>
      </c>
      <c r="H14" s="8">
        <v>300</v>
      </c>
      <c r="I14" s="8">
        <v>500</v>
      </c>
      <c r="J14" s="8">
        <v>980</v>
      </c>
      <c r="K14" s="8">
        <v>2240</v>
      </c>
      <c r="L14" s="8" t="s">
        <v>115</v>
      </c>
      <c r="M14" s="8">
        <v>0.05</v>
      </c>
      <c r="N14" s="8">
        <v>8.1000000000000003E-2</v>
      </c>
      <c r="O14" s="8">
        <v>0.15</v>
      </c>
      <c r="P14" s="8">
        <f>K14*C14*M14</f>
        <v>109760</v>
      </c>
      <c r="Q14" s="8">
        <f>N14*K14*C14</f>
        <v>177811.20000000001</v>
      </c>
      <c r="R14" s="8">
        <f>K14*O14*C14</f>
        <v>329280</v>
      </c>
      <c r="S14" s="8" t="s">
        <v>114</v>
      </c>
    </row>
    <row r="15" spans="1:19" ht="96" x14ac:dyDescent="0.2">
      <c r="A15" s="9" t="s">
        <v>13</v>
      </c>
      <c r="B15" s="10" t="s">
        <v>158</v>
      </c>
      <c r="C15" s="8">
        <v>4</v>
      </c>
      <c r="D15" s="11" t="s">
        <v>35</v>
      </c>
      <c r="E15" s="12">
        <v>5.4</v>
      </c>
      <c r="F15" s="12">
        <v>21.6</v>
      </c>
      <c r="G15" s="8">
        <v>100</v>
      </c>
      <c r="H15" s="8">
        <v>300</v>
      </c>
      <c r="I15" s="8">
        <v>500</v>
      </c>
      <c r="J15" s="8">
        <v>4</v>
      </c>
      <c r="K15" s="8">
        <v>2240</v>
      </c>
      <c r="M15" s="8">
        <v>0.05</v>
      </c>
      <c r="N15" s="8">
        <v>8.1000000000000003E-2</v>
      </c>
      <c r="O15" s="8">
        <v>0.15</v>
      </c>
      <c r="P15" s="8">
        <f>M15*K15*C15</f>
        <v>448</v>
      </c>
      <c r="Q15" s="8">
        <f>N15*K15*C15</f>
        <v>725.76</v>
      </c>
      <c r="R15" s="8">
        <f>O15*K15*C15</f>
        <v>1344</v>
      </c>
    </row>
    <row r="16" spans="1:19" ht="48" x14ac:dyDescent="0.2">
      <c r="A16" s="9" t="s">
        <v>14</v>
      </c>
      <c r="B16" s="10" t="s">
        <v>159</v>
      </c>
      <c r="C16" s="8">
        <v>350</v>
      </c>
      <c r="D16" s="11" t="s">
        <v>33</v>
      </c>
      <c r="E16" s="12">
        <v>35.65</v>
      </c>
      <c r="F16" s="12">
        <v>12477.5</v>
      </c>
      <c r="G16" s="8">
        <v>1</v>
      </c>
      <c r="H16" s="8">
        <v>1</v>
      </c>
      <c r="I16" s="8">
        <v>1</v>
      </c>
      <c r="K16" s="8">
        <v>2050</v>
      </c>
      <c r="L16" s="8" t="s">
        <v>108</v>
      </c>
      <c r="M16" s="8">
        <v>0.15</v>
      </c>
      <c r="N16" s="8">
        <v>0.45</v>
      </c>
      <c r="O16" s="8">
        <v>0.73</v>
      </c>
      <c r="P16" s="8">
        <f>M16*K16*C16</f>
        <v>107625</v>
      </c>
      <c r="Q16" s="8">
        <f>N16*K16*C16</f>
        <v>322875</v>
      </c>
      <c r="R16" s="8">
        <f>O16*K16*C16</f>
        <v>523775</v>
      </c>
      <c r="S16" s="8">
        <f>Q16/F16</f>
        <v>25.876577840112201</v>
      </c>
    </row>
    <row r="17" spans="1:20" ht="16" x14ac:dyDescent="0.2">
      <c r="A17" s="9" t="s">
        <v>15</v>
      </c>
      <c r="B17" s="10" t="s">
        <v>151</v>
      </c>
      <c r="C17" s="8">
        <v>668</v>
      </c>
      <c r="D17" s="11" t="s">
        <v>35</v>
      </c>
      <c r="E17" s="12">
        <v>0.76</v>
      </c>
      <c r="F17" s="12">
        <v>507.68</v>
      </c>
      <c r="G17" s="8">
        <v>1</v>
      </c>
      <c r="H17" s="8">
        <v>1</v>
      </c>
      <c r="I17" s="8">
        <v>1</v>
      </c>
      <c r="J17" s="8">
        <f>C17*0.2</f>
        <v>133.6</v>
      </c>
      <c r="K17" s="8">
        <v>2050</v>
      </c>
      <c r="L17" s="8" t="s">
        <v>108</v>
      </c>
      <c r="M17" s="8">
        <v>0.15</v>
      </c>
      <c r="N17" s="8">
        <v>0.45</v>
      </c>
      <c r="O17" s="8">
        <v>0.73</v>
      </c>
      <c r="P17" s="8">
        <f>M17*K17*J17</f>
        <v>41082</v>
      </c>
      <c r="Q17" s="8">
        <f>N17*K17*J17</f>
        <v>123246</v>
      </c>
      <c r="R17" s="8">
        <f>O17*K17*J17</f>
        <v>199932.4</v>
      </c>
      <c r="S17" s="8" t="s">
        <v>116</v>
      </c>
      <c r="T17" s="8">
        <f>Q17/F17</f>
        <v>242.76315789473685</v>
      </c>
    </row>
    <row r="18" spans="1:20" ht="16" x14ac:dyDescent="0.2">
      <c r="A18" s="9" t="s">
        <v>16</v>
      </c>
      <c r="B18" s="10" t="s">
        <v>160</v>
      </c>
      <c r="C18" s="8">
        <v>433</v>
      </c>
      <c r="D18" s="11" t="s">
        <v>35</v>
      </c>
      <c r="E18" s="12">
        <v>0.76</v>
      </c>
      <c r="F18" s="12">
        <v>329.08</v>
      </c>
      <c r="G18" s="8">
        <v>1</v>
      </c>
      <c r="H18" s="8">
        <v>1</v>
      </c>
      <c r="I18" s="8">
        <v>1</v>
      </c>
      <c r="J18" s="8">
        <f>C18*0.2</f>
        <v>86.600000000000009</v>
      </c>
      <c r="K18" s="8">
        <v>2050</v>
      </c>
      <c r="L18" s="8" t="s">
        <v>108</v>
      </c>
      <c r="M18" s="8">
        <v>0.15</v>
      </c>
      <c r="N18" s="8">
        <v>0.45</v>
      </c>
      <c r="O18" s="8">
        <v>0.73</v>
      </c>
      <c r="P18" s="8">
        <f>M18*K18*J18</f>
        <v>26629.500000000004</v>
      </c>
      <c r="Q18" s="8">
        <f>N18*K18*J18</f>
        <v>79888.500000000015</v>
      </c>
      <c r="R18" s="8">
        <f>O18*K18*J18</f>
        <v>129596.90000000001</v>
      </c>
      <c r="S18" s="8">
        <f>Q18/F18</f>
        <v>242.76315789473691</v>
      </c>
    </row>
    <row r="19" spans="1:20" ht="128" x14ac:dyDescent="0.2">
      <c r="A19" s="9" t="s">
        <v>17</v>
      </c>
      <c r="B19" s="10" t="s">
        <v>161</v>
      </c>
      <c r="C19" s="8">
        <v>117</v>
      </c>
      <c r="D19" s="11" t="s">
        <v>36</v>
      </c>
      <c r="E19" s="12">
        <v>834.44</v>
      </c>
      <c r="F19" s="12">
        <v>97629.48</v>
      </c>
      <c r="G19" s="8">
        <v>500</v>
      </c>
      <c r="H19" s="8">
        <v>750</v>
      </c>
      <c r="I19" s="8">
        <v>1000</v>
      </c>
      <c r="J19" s="8">
        <f>0.3^2*3.14*C19*12</f>
        <v>396.7704</v>
      </c>
      <c r="K19" s="8">
        <v>2300</v>
      </c>
      <c r="M19" s="8">
        <v>0.77</v>
      </c>
      <c r="N19" s="8">
        <v>0.85</v>
      </c>
      <c r="O19" s="8">
        <v>0.91</v>
      </c>
      <c r="P19" s="8">
        <f>M19*K19*J19</f>
        <v>702680.37840000005</v>
      </c>
      <c r="Q19" s="8">
        <f>N19*K19*J19</f>
        <v>775686.13199999998</v>
      </c>
      <c r="R19" s="8">
        <f>O19*K19*J19</f>
        <v>830440.44719999994</v>
      </c>
      <c r="S19" s="8" t="s">
        <v>118</v>
      </c>
    </row>
    <row r="20" spans="1:20" ht="64" x14ac:dyDescent="0.2">
      <c r="A20" s="9" t="s">
        <v>10</v>
      </c>
      <c r="B20" s="10" t="s">
        <v>162</v>
      </c>
      <c r="C20" s="8">
        <v>117</v>
      </c>
      <c r="D20" s="11" t="s">
        <v>36</v>
      </c>
      <c r="E20" s="12">
        <v>19.440000000000001</v>
      </c>
      <c r="F20" s="12">
        <v>2274.48</v>
      </c>
      <c r="G20" s="8">
        <v>1</v>
      </c>
      <c r="H20" s="8">
        <v>1</v>
      </c>
      <c r="I20" s="8">
        <v>1</v>
      </c>
      <c r="J20" s="8">
        <f>0.3^2*3.14*0.075*C20</f>
        <v>2.4798150000000003</v>
      </c>
      <c r="K20" s="8">
        <v>2300</v>
      </c>
      <c r="M20" s="8">
        <v>0.77</v>
      </c>
      <c r="N20" s="8">
        <v>0.85</v>
      </c>
      <c r="O20" s="8">
        <v>0.91</v>
      </c>
      <c r="P20" s="8">
        <f>M20*K20*J20</f>
        <v>4391.7523650000003</v>
      </c>
      <c r="Q20" s="8">
        <f>N20*K20*J20</f>
        <v>4848.0383250000004</v>
      </c>
      <c r="R20" s="8">
        <f>O20*K20*J20</f>
        <v>5190.2527950000003</v>
      </c>
      <c r="S20" s="8" t="s">
        <v>117</v>
      </c>
    </row>
    <row r="21" spans="1:20" ht="48" x14ac:dyDescent="0.2">
      <c r="A21" s="9" t="s">
        <v>11</v>
      </c>
      <c r="B21" s="10" t="s">
        <v>163</v>
      </c>
      <c r="C21" s="8">
        <v>99</v>
      </c>
      <c r="D21" s="11" t="s">
        <v>33</v>
      </c>
      <c r="E21" s="12">
        <v>35.65</v>
      </c>
      <c r="F21" s="12">
        <v>3529.35</v>
      </c>
      <c r="G21" s="8">
        <v>1</v>
      </c>
      <c r="H21" s="8">
        <v>1</v>
      </c>
      <c r="I21" s="8">
        <v>1</v>
      </c>
      <c r="K21" s="8">
        <v>2050</v>
      </c>
      <c r="L21" s="8" t="s">
        <v>108</v>
      </c>
      <c r="M21" s="8">
        <v>0.15</v>
      </c>
      <c r="N21" s="8">
        <v>0.85</v>
      </c>
      <c r="O21" s="8">
        <v>0.91</v>
      </c>
      <c r="P21" s="8">
        <f>M21*K21*C21</f>
        <v>30442.5</v>
      </c>
      <c r="Q21" s="8">
        <f>N21*K21*C21</f>
        <v>172507.5</v>
      </c>
      <c r="R21" s="8">
        <f>O21*K21*C21</f>
        <v>184684.5</v>
      </c>
      <c r="S21" s="8">
        <f>Q21/F21</f>
        <v>48.877980364656381</v>
      </c>
    </row>
    <row r="22" spans="1:20" ht="224" x14ac:dyDescent="0.2">
      <c r="A22" s="9" t="s">
        <v>14</v>
      </c>
      <c r="B22" s="10" t="s">
        <v>164</v>
      </c>
      <c r="C22" s="8">
        <v>1117</v>
      </c>
      <c r="D22" s="11" t="s">
        <v>35</v>
      </c>
      <c r="E22" s="12">
        <v>34.57</v>
      </c>
      <c r="F22" s="12">
        <v>38614.69</v>
      </c>
      <c r="G22" s="8">
        <v>1</v>
      </c>
      <c r="H22" s="8">
        <v>1</v>
      </c>
      <c r="I22" s="8">
        <v>1</v>
      </c>
      <c r="J22" s="8">
        <f>C22*0.6</f>
        <v>670.19999999999993</v>
      </c>
      <c r="K22" s="8">
        <v>2240</v>
      </c>
      <c r="L22" s="8" t="s">
        <v>937</v>
      </c>
      <c r="M22" s="8">
        <v>0.05</v>
      </c>
      <c r="N22" s="8">
        <v>8.0999999999999996E-3</v>
      </c>
      <c r="O22" s="8">
        <v>0.51</v>
      </c>
      <c r="P22" s="8">
        <f>J22*K22*M22</f>
        <v>75062.399999999994</v>
      </c>
      <c r="Q22" s="8">
        <f>J22*K22*N22</f>
        <v>12160.108799999998</v>
      </c>
      <c r="R22" s="8">
        <f>J22*K22*O22</f>
        <v>765636.47999999986</v>
      </c>
      <c r="S22" s="8" t="s">
        <v>119</v>
      </c>
    </row>
    <row r="23" spans="1:20" ht="64" x14ac:dyDescent="0.2">
      <c r="A23" s="9" t="s">
        <v>6</v>
      </c>
      <c r="B23" s="10" t="s">
        <v>165</v>
      </c>
      <c r="C23" s="8">
        <v>1117</v>
      </c>
      <c r="D23" s="11" t="s">
        <v>35</v>
      </c>
      <c r="E23" s="12">
        <v>22.69</v>
      </c>
      <c r="F23" s="12">
        <v>25344.73</v>
      </c>
      <c r="G23" s="8">
        <v>1</v>
      </c>
      <c r="H23" s="8">
        <v>1</v>
      </c>
      <c r="I23" s="8">
        <v>1</v>
      </c>
    </row>
    <row r="24" spans="1:20" ht="32" x14ac:dyDescent="0.2">
      <c r="A24" s="9" t="s">
        <v>9</v>
      </c>
      <c r="B24" s="10" t="s">
        <v>166</v>
      </c>
      <c r="C24" s="8">
        <v>1</v>
      </c>
      <c r="D24" s="11" t="s">
        <v>7</v>
      </c>
      <c r="E24" s="12">
        <v>297.07</v>
      </c>
      <c r="F24" s="12">
        <v>297.07</v>
      </c>
      <c r="G24" s="8">
        <v>1</v>
      </c>
      <c r="H24" s="8">
        <v>1</v>
      </c>
      <c r="I24" s="8">
        <v>1</v>
      </c>
    </row>
    <row r="25" spans="1:20" ht="32" x14ac:dyDescent="0.2">
      <c r="A25" s="9" t="s">
        <v>10</v>
      </c>
      <c r="B25" s="10" t="s">
        <v>167</v>
      </c>
      <c r="C25" s="8">
        <v>1</v>
      </c>
      <c r="D25" s="11" t="s">
        <v>7</v>
      </c>
      <c r="E25" s="12">
        <v>297.07</v>
      </c>
      <c r="F25" s="12">
        <v>297.07</v>
      </c>
      <c r="G25" s="8">
        <v>1</v>
      </c>
      <c r="H25" s="8">
        <v>1</v>
      </c>
      <c r="I25" s="8">
        <v>1</v>
      </c>
    </row>
    <row r="26" spans="1:20" ht="32" x14ac:dyDescent="0.2">
      <c r="A26" s="9" t="s">
        <v>11</v>
      </c>
      <c r="B26" s="10" t="s">
        <v>168</v>
      </c>
      <c r="C26" s="8">
        <v>11</v>
      </c>
      <c r="D26" s="11" t="s">
        <v>33</v>
      </c>
      <c r="E26" s="12">
        <v>149.07</v>
      </c>
      <c r="F26" s="12">
        <v>1639.77</v>
      </c>
      <c r="G26" s="8">
        <v>100</v>
      </c>
      <c r="H26" s="8">
        <v>150</v>
      </c>
      <c r="I26" s="8">
        <v>200</v>
      </c>
      <c r="K26" s="8">
        <v>1760</v>
      </c>
      <c r="L26" s="8" t="s">
        <v>120</v>
      </c>
      <c r="M26" s="8">
        <v>0.59</v>
      </c>
      <c r="N26" s="8">
        <v>0.65</v>
      </c>
      <c r="O26" s="8">
        <v>0.7</v>
      </c>
      <c r="P26" s="8">
        <f>C26*K26*M26</f>
        <v>11422.4</v>
      </c>
      <c r="Q26" s="8">
        <f>N26*K26*C26</f>
        <v>12584</v>
      </c>
      <c r="R26" s="8">
        <f>O26*K26*C26</f>
        <v>13552</v>
      </c>
      <c r="S26" s="8">
        <f>Q26/F26</f>
        <v>7.6742469980546053</v>
      </c>
    </row>
    <row r="27" spans="1:20" ht="16" x14ac:dyDescent="0.2">
      <c r="A27" s="9" t="s">
        <v>12</v>
      </c>
      <c r="B27" s="10" t="s">
        <v>169</v>
      </c>
      <c r="C27" s="8">
        <v>27</v>
      </c>
      <c r="D27" s="11" t="s">
        <v>33</v>
      </c>
      <c r="E27" s="12">
        <v>149.07</v>
      </c>
      <c r="F27" s="12">
        <v>4024.89</v>
      </c>
      <c r="G27" s="8">
        <v>100</v>
      </c>
      <c r="H27" s="8">
        <v>150</v>
      </c>
      <c r="I27" s="8">
        <v>200</v>
      </c>
      <c r="K27" s="8">
        <v>1040</v>
      </c>
      <c r="L27" s="8" t="s">
        <v>121</v>
      </c>
      <c r="M27" s="8">
        <v>0.59</v>
      </c>
      <c r="N27" s="8">
        <v>0.65</v>
      </c>
      <c r="O27" s="8">
        <v>0.7</v>
      </c>
      <c r="P27" s="8">
        <f>C27*K27*M27</f>
        <v>16567.2</v>
      </c>
      <c r="Q27" s="8">
        <f>C27*K27*N27</f>
        <v>18252</v>
      </c>
      <c r="R27" s="8">
        <f>O27*K27*C27</f>
        <v>19656</v>
      </c>
      <c r="S27" s="8">
        <f>Q27/F27</f>
        <v>4.534782317032267</v>
      </c>
    </row>
    <row r="28" spans="1:20" ht="16" x14ac:dyDescent="0.2">
      <c r="A28" s="9" t="s">
        <v>13</v>
      </c>
      <c r="B28" s="10" t="s">
        <v>170</v>
      </c>
      <c r="C28" s="8">
        <v>2</v>
      </c>
      <c r="D28" s="11" t="s">
        <v>33</v>
      </c>
      <c r="E28" s="12">
        <v>156.63999999999999</v>
      </c>
      <c r="F28" s="12">
        <v>313.27999999999997</v>
      </c>
      <c r="G28" s="8">
        <v>100</v>
      </c>
      <c r="H28" s="8">
        <v>150</v>
      </c>
      <c r="I28" s="8">
        <v>200</v>
      </c>
      <c r="K28" s="8">
        <v>1900</v>
      </c>
      <c r="L28" s="8" t="s">
        <v>122</v>
      </c>
      <c r="M28" s="8">
        <v>0.68</v>
      </c>
      <c r="N28" s="8">
        <v>0.75</v>
      </c>
      <c r="O28" s="8">
        <v>0.81</v>
      </c>
      <c r="P28" s="8">
        <f>C28*K28*M28</f>
        <v>2584</v>
      </c>
      <c r="Q28" s="8">
        <f>N28*K28*C28</f>
        <v>2850</v>
      </c>
      <c r="R28" s="8">
        <f>O28*K28*C28</f>
        <v>3078</v>
      </c>
      <c r="S28" s="8">
        <f>Q28/F28</f>
        <v>9.0972931562819213</v>
      </c>
    </row>
    <row r="29" spans="1:20" ht="32" x14ac:dyDescent="0.2">
      <c r="A29" s="9" t="s">
        <v>14</v>
      </c>
      <c r="B29" s="10" t="s">
        <v>171</v>
      </c>
      <c r="C29" s="8">
        <v>228</v>
      </c>
      <c r="D29" s="11" t="s">
        <v>33</v>
      </c>
      <c r="E29" s="12">
        <v>182.56</v>
      </c>
      <c r="F29" s="12">
        <v>41623.68</v>
      </c>
      <c r="G29" s="8">
        <v>100</v>
      </c>
      <c r="H29" s="8">
        <v>150</v>
      </c>
      <c r="I29" s="8">
        <v>200</v>
      </c>
      <c r="K29" s="8">
        <v>2300</v>
      </c>
      <c r="L29" s="8" t="s">
        <v>123</v>
      </c>
      <c r="M29" s="8">
        <v>0.77</v>
      </c>
      <c r="N29" s="8">
        <v>0.85</v>
      </c>
      <c r="O29" s="8">
        <v>0.91</v>
      </c>
      <c r="P29" s="8">
        <f>C29*K29*M29</f>
        <v>403788</v>
      </c>
      <c r="Q29" s="8">
        <f>N29*K29*C29</f>
        <v>445740</v>
      </c>
      <c r="R29" s="8">
        <f>O29*K29*C29</f>
        <v>477204</v>
      </c>
      <c r="S29" s="8">
        <f>Q29/F29</f>
        <v>10.708808063102541</v>
      </c>
    </row>
    <row r="30" spans="1:20" ht="16" x14ac:dyDescent="0.2">
      <c r="A30" s="9" t="s">
        <v>15</v>
      </c>
      <c r="B30" s="10" t="s">
        <v>172</v>
      </c>
      <c r="C30" s="8">
        <v>1</v>
      </c>
      <c r="D30" s="11" t="s">
        <v>33</v>
      </c>
      <c r="E30" s="12">
        <v>182.56</v>
      </c>
      <c r="F30" s="12">
        <v>182.56</v>
      </c>
      <c r="G30" s="8">
        <v>100</v>
      </c>
      <c r="H30" s="8">
        <v>150</v>
      </c>
      <c r="I30" s="8">
        <v>200</v>
      </c>
      <c r="K30" s="8">
        <v>1900</v>
      </c>
      <c r="L30" s="8" t="s">
        <v>124</v>
      </c>
      <c r="M30" s="8">
        <v>0.59</v>
      </c>
      <c r="N30" s="8">
        <v>0.65</v>
      </c>
      <c r="O30" s="8">
        <v>0.7</v>
      </c>
      <c r="P30" s="8">
        <f>M30*K30</f>
        <v>1121</v>
      </c>
      <c r="Q30" s="8">
        <f>K30*N30</f>
        <v>1235</v>
      </c>
      <c r="R30" s="8">
        <f>O30*K30</f>
        <v>1330</v>
      </c>
      <c r="S30" s="8">
        <f>Q30/F30</f>
        <v>6.7648992112182293</v>
      </c>
    </row>
    <row r="31" spans="1:20" ht="48" x14ac:dyDescent="0.2">
      <c r="A31" s="9" t="s">
        <v>17</v>
      </c>
      <c r="B31" s="10" t="s">
        <v>173</v>
      </c>
      <c r="C31" s="8">
        <v>8</v>
      </c>
      <c r="D31" s="11" t="s">
        <v>34</v>
      </c>
      <c r="E31" s="12">
        <v>23.77</v>
      </c>
      <c r="F31" s="12">
        <v>190.16</v>
      </c>
      <c r="G31" s="8">
        <v>47</v>
      </c>
      <c r="H31" s="8">
        <v>70</v>
      </c>
      <c r="I31" s="8">
        <v>110</v>
      </c>
      <c r="J31" s="8">
        <f>C31*0.25*0.05</f>
        <v>0.1</v>
      </c>
      <c r="K31" s="8">
        <v>480</v>
      </c>
      <c r="L31" s="8" t="s">
        <v>131</v>
      </c>
      <c r="M31" s="8">
        <v>0.72</v>
      </c>
      <c r="N31" s="8">
        <v>7.11</v>
      </c>
      <c r="O31" s="8">
        <v>21.3</v>
      </c>
      <c r="P31" s="8">
        <f>M31*K31*J31</f>
        <v>34.559999999999995</v>
      </c>
      <c r="Q31" s="8">
        <f>N31*K31*J31</f>
        <v>341.28000000000003</v>
      </c>
      <c r="R31" s="8">
        <f>O31*K31*J31</f>
        <v>1022.4000000000001</v>
      </c>
      <c r="S31" s="8" t="s">
        <v>129</v>
      </c>
    </row>
    <row r="32" spans="1:20" ht="48" x14ac:dyDescent="0.2">
      <c r="A32" s="9" t="s">
        <v>18</v>
      </c>
      <c r="B32" s="10" t="s">
        <v>174</v>
      </c>
      <c r="C32" s="8">
        <v>1202</v>
      </c>
      <c r="D32" s="11" t="s">
        <v>34</v>
      </c>
      <c r="E32" s="12">
        <v>30.25</v>
      </c>
      <c r="F32" s="12">
        <v>36360.5</v>
      </c>
      <c r="G32" s="8">
        <v>47</v>
      </c>
      <c r="H32" s="8">
        <v>70</v>
      </c>
      <c r="I32" s="8">
        <v>110</v>
      </c>
      <c r="J32" s="8">
        <f>C32*0.75*0.1</f>
        <v>90.15</v>
      </c>
      <c r="K32" s="8">
        <v>480</v>
      </c>
      <c r="L32" s="8" t="s">
        <v>130</v>
      </c>
      <c r="M32" s="8">
        <v>0.72</v>
      </c>
      <c r="N32" s="8">
        <v>7.11</v>
      </c>
      <c r="O32" s="8">
        <v>21.3</v>
      </c>
      <c r="P32" s="8">
        <f>M32*K32*J32</f>
        <v>31155.84</v>
      </c>
      <c r="Q32" s="8">
        <f>N32*K32*J32</f>
        <v>307663.92000000004</v>
      </c>
      <c r="R32" s="8">
        <f>O32*K32*J32</f>
        <v>921693.60000000009</v>
      </c>
      <c r="S32" s="8">
        <f>Q32/F32</f>
        <v>8.4614876033057858</v>
      </c>
    </row>
    <row r="33" spans="1:22" ht="32" x14ac:dyDescent="0.2">
      <c r="A33" s="9" t="s">
        <v>6</v>
      </c>
      <c r="B33" s="10" t="s">
        <v>175</v>
      </c>
      <c r="C33" s="8">
        <v>134</v>
      </c>
      <c r="D33" s="11" t="s">
        <v>34</v>
      </c>
      <c r="E33" s="12">
        <v>20.52</v>
      </c>
      <c r="F33" s="12">
        <v>2749.68</v>
      </c>
      <c r="G33" s="8">
        <v>64</v>
      </c>
      <c r="H33" s="8">
        <v>108</v>
      </c>
      <c r="I33" s="8">
        <v>178</v>
      </c>
      <c r="J33" s="8">
        <f>C33*0.05*0.75</f>
        <v>5.0250000000000004</v>
      </c>
      <c r="K33" s="8">
        <v>21.5</v>
      </c>
      <c r="M33" s="8">
        <v>62.02</v>
      </c>
      <c r="N33" s="8">
        <v>88.6</v>
      </c>
      <c r="O33" s="8">
        <v>115.18</v>
      </c>
      <c r="P33" s="8">
        <f>M33*K33*J33</f>
        <v>6700.4857500000007</v>
      </c>
      <c r="Q33" s="8">
        <f>N33*K33*J33</f>
        <v>9572.1224999999995</v>
      </c>
      <c r="R33" s="8">
        <f>O33*K33*J33</f>
        <v>12443.759250000003</v>
      </c>
      <c r="S33" s="8" t="s">
        <v>126</v>
      </c>
      <c r="V33" s="8">
        <f>Q33/F33</f>
        <v>3.4811769005847952</v>
      </c>
    </row>
    <row r="34" spans="1:22" ht="32" x14ac:dyDescent="0.2">
      <c r="A34" s="9" t="s">
        <v>9</v>
      </c>
      <c r="B34" s="10" t="s">
        <v>176</v>
      </c>
      <c r="C34" s="8">
        <v>79</v>
      </c>
      <c r="D34" s="11" t="s">
        <v>35</v>
      </c>
      <c r="E34" s="12">
        <v>16.2</v>
      </c>
      <c r="F34" s="12">
        <v>1279.8</v>
      </c>
      <c r="G34" s="8">
        <v>500</v>
      </c>
      <c r="H34" s="8">
        <v>750</v>
      </c>
      <c r="I34" s="8">
        <v>1000</v>
      </c>
      <c r="J34" s="8">
        <f>C34*0.66</f>
        <v>52.14</v>
      </c>
      <c r="K34" s="8">
        <v>21.5</v>
      </c>
      <c r="M34" s="8">
        <v>62.02</v>
      </c>
      <c r="N34" s="8">
        <v>88.6</v>
      </c>
      <c r="O34" s="8">
        <v>115.18</v>
      </c>
      <c r="P34" s="8">
        <f>M34*K34*J34</f>
        <v>69525.040200000003</v>
      </c>
      <c r="Q34" s="8">
        <f>N34*K34*J34</f>
        <v>99321.48599999999</v>
      </c>
      <c r="R34" s="8">
        <f>O34*K34*J34</f>
        <v>129117.93180000002</v>
      </c>
      <c r="S34" s="8" t="s">
        <v>125</v>
      </c>
      <c r="U34" s="8" t="s">
        <v>96</v>
      </c>
    </row>
    <row r="35" spans="1:22" ht="48" x14ac:dyDescent="0.2">
      <c r="A35" s="9" t="s">
        <v>10</v>
      </c>
      <c r="B35" s="10" t="s">
        <v>177</v>
      </c>
      <c r="C35" s="8">
        <v>3.83</v>
      </c>
      <c r="D35" s="11" t="s">
        <v>27</v>
      </c>
      <c r="E35" s="12">
        <v>1593.36</v>
      </c>
      <c r="F35" s="12">
        <v>6102.57</v>
      </c>
      <c r="G35" s="8">
        <v>47</v>
      </c>
      <c r="H35" s="8">
        <v>60</v>
      </c>
      <c r="I35" s="8">
        <v>100</v>
      </c>
      <c r="J35" s="8" t="s">
        <v>97</v>
      </c>
      <c r="M35" s="8">
        <v>12.18</v>
      </c>
      <c r="N35" s="8">
        <v>17.399999999999999</v>
      </c>
      <c r="O35" s="8">
        <v>22.62</v>
      </c>
      <c r="P35" s="8">
        <f>M35*C35*1000</f>
        <v>46649.4</v>
      </c>
      <c r="Q35" s="8">
        <f>N35*C35*1000</f>
        <v>66642</v>
      </c>
      <c r="R35" s="8">
        <f>O35*C35*1000</f>
        <v>86634.6</v>
      </c>
      <c r="S35" s="8">
        <f>Q35/F35</f>
        <v>10.920317177844744</v>
      </c>
    </row>
    <row r="36" spans="1:22" ht="48" x14ac:dyDescent="0.2">
      <c r="A36" s="9" t="s">
        <v>11</v>
      </c>
      <c r="B36" s="10" t="s">
        <v>178</v>
      </c>
      <c r="C36" s="8">
        <v>0.55000000000000004</v>
      </c>
      <c r="D36" s="11" t="s">
        <v>27</v>
      </c>
      <c r="E36" s="12">
        <v>1636.57</v>
      </c>
      <c r="F36" s="12">
        <v>900.11</v>
      </c>
      <c r="G36" s="8">
        <v>47</v>
      </c>
      <c r="H36" s="8">
        <v>60</v>
      </c>
      <c r="I36" s="8">
        <v>100</v>
      </c>
      <c r="M36" s="8">
        <v>12.18</v>
      </c>
      <c r="N36" s="8">
        <v>17.399999999999999</v>
      </c>
      <c r="O36" s="8">
        <v>22.62</v>
      </c>
      <c r="P36" s="8">
        <f t="shared" ref="P36:P39" si="0">M36*C36*1000</f>
        <v>6699.0000000000009</v>
      </c>
      <c r="Q36" s="8">
        <f t="shared" ref="Q36:Q39" si="1">N36*C36*1000</f>
        <v>9570</v>
      </c>
      <c r="R36" s="8">
        <f t="shared" ref="R36:R39" si="2">O36*C36*1000</f>
        <v>12441</v>
      </c>
      <c r="S36" s="8">
        <f>Q36/F36</f>
        <v>10.632033862527914</v>
      </c>
    </row>
    <row r="37" spans="1:22" ht="48" x14ac:dyDescent="0.2">
      <c r="A37" s="9" t="s">
        <v>12</v>
      </c>
      <c r="B37" s="10" t="s">
        <v>179</v>
      </c>
      <c r="C37" s="8">
        <v>3.28</v>
      </c>
      <c r="D37" s="11" t="s">
        <v>27</v>
      </c>
      <c r="E37" s="12">
        <v>1712.18</v>
      </c>
      <c r="F37" s="12">
        <v>5615.95</v>
      </c>
      <c r="G37" s="8">
        <v>47</v>
      </c>
      <c r="H37" s="8">
        <v>60</v>
      </c>
      <c r="I37" s="8">
        <v>100</v>
      </c>
      <c r="M37" s="8">
        <v>12.18</v>
      </c>
      <c r="N37" s="8">
        <v>17.399999999999999</v>
      </c>
      <c r="O37" s="8">
        <v>22.62</v>
      </c>
      <c r="P37" s="8">
        <f t="shared" si="0"/>
        <v>39950.399999999994</v>
      </c>
      <c r="Q37" s="8">
        <f t="shared" si="1"/>
        <v>57071.999999999985</v>
      </c>
      <c r="R37" s="8">
        <f t="shared" si="2"/>
        <v>74193.600000000006</v>
      </c>
      <c r="S37" s="8">
        <f>Q37/F37</f>
        <v>10.162483640345798</v>
      </c>
    </row>
    <row r="38" spans="1:22" ht="48" x14ac:dyDescent="0.2">
      <c r="A38" s="9" t="s">
        <v>13</v>
      </c>
      <c r="B38" s="10" t="s">
        <v>180</v>
      </c>
      <c r="C38" s="8">
        <v>4.95</v>
      </c>
      <c r="D38" s="11" t="s">
        <v>27</v>
      </c>
      <c r="E38" s="12">
        <v>1795.36</v>
      </c>
      <c r="F38" s="12">
        <v>8887.0300000000007</v>
      </c>
      <c r="G38" s="8">
        <v>47</v>
      </c>
      <c r="H38" s="8">
        <v>60</v>
      </c>
      <c r="I38" s="8">
        <v>100</v>
      </c>
      <c r="M38" s="8">
        <v>12.18</v>
      </c>
      <c r="N38" s="8">
        <v>17.399999999999999</v>
      </c>
      <c r="O38" s="8">
        <v>22.62</v>
      </c>
      <c r="P38" s="8">
        <f t="shared" si="0"/>
        <v>60291.000000000007</v>
      </c>
      <c r="Q38" s="8">
        <f t="shared" si="1"/>
        <v>86130</v>
      </c>
      <c r="R38" s="8">
        <f t="shared" si="2"/>
        <v>111969.00000000001</v>
      </c>
      <c r="S38" s="8">
        <f>Q38/F38</f>
        <v>9.6916517666757045</v>
      </c>
    </row>
    <row r="39" spans="1:22" ht="48" x14ac:dyDescent="0.2">
      <c r="A39" s="9" t="s">
        <v>14</v>
      </c>
      <c r="B39" s="10" t="s">
        <v>181</v>
      </c>
      <c r="C39" s="8">
        <v>4.66</v>
      </c>
      <c r="D39" s="11" t="s">
        <v>27</v>
      </c>
      <c r="E39" s="12">
        <v>1847.21</v>
      </c>
      <c r="F39" s="12">
        <v>8608</v>
      </c>
      <c r="G39" s="8">
        <v>47</v>
      </c>
      <c r="H39" s="8">
        <v>60</v>
      </c>
      <c r="I39" s="8">
        <v>100</v>
      </c>
      <c r="M39" s="8">
        <v>12.18</v>
      </c>
      <c r="N39" s="8">
        <v>17.399999999999999</v>
      </c>
      <c r="O39" s="8">
        <v>22.62</v>
      </c>
      <c r="P39" s="8">
        <f t="shared" si="0"/>
        <v>56758.8</v>
      </c>
      <c r="Q39" s="8">
        <f t="shared" si="1"/>
        <v>81083.999999999985</v>
      </c>
      <c r="R39" s="8">
        <f t="shared" si="2"/>
        <v>105409.20000000001</v>
      </c>
      <c r="S39" s="8">
        <f>Q39/F39</f>
        <v>9.4196096654275081</v>
      </c>
    </row>
    <row r="40" spans="1:22" ht="32" x14ac:dyDescent="0.2">
      <c r="A40" s="9" t="s">
        <v>15</v>
      </c>
      <c r="B40" s="10" t="s">
        <v>182</v>
      </c>
      <c r="C40" s="8">
        <v>3</v>
      </c>
      <c r="D40" s="11" t="s">
        <v>35</v>
      </c>
      <c r="E40" s="12">
        <v>10.8</v>
      </c>
      <c r="F40" s="12">
        <v>32.4</v>
      </c>
      <c r="G40" s="8">
        <v>1</v>
      </c>
      <c r="H40" s="8">
        <v>1</v>
      </c>
      <c r="I40" s="8">
        <v>1</v>
      </c>
      <c r="J40" s="8">
        <f>C40*0.2</f>
        <v>0.60000000000000009</v>
      </c>
      <c r="K40" s="8">
        <v>2100</v>
      </c>
      <c r="L40" s="8" t="s">
        <v>128</v>
      </c>
      <c r="M40" s="8">
        <v>3.157</v>
      </c>
      <c r="N40" s="8">
        <v>4.51</v>
      </c>
      <c r="O40" s="8">
        <v>5.8630000000000004</v>
      </c>
      <c r="P40" s="8">
        <f>M40*K40*J40</f>
        <v>3977.8200000000006</v>
      </c>
      <c r="Q40" s="8">
        <f>N40*K40*J40</f>
        <v>5682.6000000000013</v>
      </c>
      <c r="R40" s="8">
        <f>O40*K40*J40</f>
        <v>7387.3800000000019</v>
      </c>
      <c r="S40" s="8" t="s">
        <v>127</v>
      </c>
    </row>
    <row r="41" spans="1:22" ht="80" x14ac:dyDescent="0.2">
      <c r="A41" s="9" t="s">
        <v>17</v>
      </c>
      <c r="B41" s="10" t="s">
        <v>183</v>
      </c>
      <c r="C41" s="8">
        <v>671</v>
      </c>
      <c r="D41" s="11" t="s">
        <v>35</v>
      </c>
      <c r="E41" s="12">
        <v>69</v>
      </c>
      <c r="F41" s="12">
        <v>46299</v>
      </c>
      <c r="G41" s="8">
        <v>47</v>
      </c>
      <c r="H41" s="8">
        <v>72</v>
      </c>
      <c r="I41" s="8">
        <v>100</v>
      </c>
      <c r="J41" s="8">
        <f>C41*0.15</f>
        <v>100.64999999999999</v>
      </c>
      <c r="K41" s="8">
        <v>2200</v>
      </c>
      <c r="L41" s="8" t="s">
        <v>133</v>
      </c>
      <c r="M41" s="8">
        <v>1.2</v>
      </c>
      <c r="N41" s="8">
        <v>2.1800000000000002</v>
      </c>
      <c r="O41" s="8">
        <v>3.8</v>
      </c>
      <c r="P41" s="8">
        <f>J41*K41*M41</f>
        <v>265715.99999999994</v>
      </c>
      <c r="Q41" s="8">
        <f>N41*K41*J41</f>
        <v>482717.39999999997</v>
      </c>
      <c r="R41" s="8">
        <f>O41*K41*J41</f>
        <v>841433.99999999988</v>
      </c>
      <c r="S41" s="8" t="s">
        <v>132</v>
      </c>
      <c r="U41" s="8">
        <f>Q41/F41</f>
        <v>10.426086956521738</v>
      </c>
    </row>
    <row r="42" spans="1:22" ht="80" x14ac:dyDescent="0.2">
      <c r="A42" s="9" t="s">
        <v>18</v>
      </c>
      <c r="B42" s="10" t="s">
        <v>184</v>
      </c>
      <c r="C42" s="8">
        <v>52</v>
      </c>
      <c r="D42" s="11" t="s">
        <v>36</v>
      </c>
      <c r="E42" s="12">
        <v>5</v>
      </c>
      <c r="F42" s="12">
        <v>260</v>
      </c>
      <c r="G42" s="8">
        <v>500</v>
      </c>
      <c r="H42" s="8">
        <v>750</v>
      </c>
      <c r="I42" s="8">
        <v>1000</v>
      </c>
      <c r="K42" s="8">
        <v>2200</v>
      </c>
      <c r="M42" s="8">
        <v>1.2</v>
      </c>
      <c r="N42" s="8">
        <v>2.1800000000000002</v>
      </c>
      <c r="O42" s="8">
        <v>3.8</v>
      </c>
    </row>
    <row r="43" spans="1:22" ht="80" x14ac:dyDescent="0.2">
      <c r="A43" s="9" t="s">
        <v>19</v>
      </c>
      <c r="B43" s="10" t="s">
        <v>185</v>
      </c>
      <c r="C43" s="8">
        <v>6</v>
      </c>
      <c r="D43" s="11" t="s">
        <v>36</v>
      </c>
      <c r="E43" s="12">
        <v>100</v>
      </c>
      <c r="F43" s="12">
        <v>600</v>
      </c>
      <c r="G43" s="8">
        <v>500</v>
      </c>
      <c r="H43" s="8">
        <v>750</v>
      </c>
      <c r="I43" s="8">
        <v>1000</v>
      </c>
    </row>
    <row r="44" spans="1:22" ht="80" x14ac:dyDescent="0.2">
      <c r="A44" s="9" t="s">
        <v>20</v>
      </c>
      <c r="B44" s="10" t="s">
        <v>186</v>
      </c>
      <c r="C44" s="8">
        <v>1</v>
      </c>
      <c r="D44" s="11" t="s">
        <v>36</v>
      </c>
      <c r="E44" s="12">
        <v>100</v>
      </c>
      <c r="F44" s="12">
        <v>100</v>
      </c>
      <c r="G44" s="8">
        <v>500</v>
      </c>
      <c r="H44" s="8">
        <v>750</v>
      </c>
      <c r="I44" s="8">
        <v>1000</v>
      </c>
    </row>
    <row r="45" spans="1:22" ht="48" x14ac:dyDescent="0.2">
      <c r="A45" s="9" t="s">
        <v>6</v>
      </c>
      <c r="B45" s="10" t="s">
        <v>187</v>
      </c>
      <c r="C45" s="8">
        <v>415</v>
      </c>
      <c r="D45" s="11" t="s">
        <v>35</v>
      </c>
      <c r="E45" s="12">
        <v>22.8</v>
      </c>
      <c r="F45" s="12">
        <v>9462</v>
      </c>
      <c r="G45" s="8">
        <v>52</v>
      </c>
      <c r="H45" s="8">
        <v>72</v>
      </c>
      <c r="I45" s="8">
        <v>101</v>
      </c>
      <c r="J45" s="8">
        <f>C45*0.1</f>
        <v>41.5</v>
      </c>
      <c r="K45" s="8">
        <v>2200</v>
      </c>
      <c r="L45" s="8" t="s">
        <v>134</v>
      </c>
      <c r="M45" s="13">
        <v>0.52500000000000002</v>
      </c>
      <c r="N45" s="13">
        <v>0.75</v>
      </c>
      <c r="O45" s="13">
        <v>0.97499999999999998</v>
      </c>
      <c r="P45" s="8">
        <f>M45*K45*J45</f>
        <v>47932.5</v>
      </c>
      <c r="Q45" s="8">
        <f>N45*K45*J45</f>
        <v>68475</v>
      </c>
      <c r="R45" s="8">
        <f>O45*K45*J45</f>
        <v>89017.5</v>
      </c>
    </row>
    <row r="46" spans="1:22" ht="64" x14ac:dyDescent="0.2">
      <c r="A46" s="9" t="s">
        <v>9</v>
      </c>
      <c r="B46" s="10" t="s">
        <v>188</v>
      </c>
      <c r="C46" s="8">
        <v>76</v>
      </c>
      <c r="D46" s="11" t="s">
        <v>35</v>
      </c>
      <c r="E46" s="12">
        <v>45.58</v>
      </c>
      <c r="F46" s="12">
        <v>3464.08</v>
      </c>
      <c r="G46" s="8">
        <v>52</v>
      </c>
      <c r="H46" s="8">
        <v>72</v>
      </c>
      <c r="I46" s="8">
        <v>101</v>
      </c>
      <c r="J46" s="8">
        <f>C46*0.215</f>
        <v>16.34</v>
      </c>
      <c r="K46" s="8">
        <v>2200</v>
      </c>
      <c r="M46" s="13">
        <v>0.52500000000000002</v>
      </c>
      <c r="N46" s="13">
        <v>0.75</v>
      </c>
      <c r="O46" s="13">
        <v>0.97499999999999998</v>
      </c>
      <c r="P46" s="8">
        <f>M46*K46*J46</f>
        <v>18872.7</v>
      </c>
      <c r="Q46" s="8">
        <f>N46*K46*J46</f>
        <v>26961</v>
      </c>
      <c r="R46" s="8">
        <f>O46*K46*J46</f>
        <v>35049.300000000003</v>
      </c>
    </row>
    <row r="47" spans="1:22" ht="64" x14ac:dyDescent="0.2">
      <c r="A47" s="9" t="s">
        <v>10</v>
      </c>
      <c r="B47" s="10" t="s">
        <v>189</v>
      </c>
      <c r="C47" s="8">
        <v>2</v>
      </c>
      <c r="D47" s="11" t="s">
        <v>35</v>
      </c>
      <c r="E47" s="12">
        <v>45.58</v>
      </c>
      <c r="F47" s="12">
        <v>91.16</v>
      </c>
      <c r="G47" s="8">
        <v>52</v>
      </c>
      <c r="H47" s="8">
        <v>72</v>
      </c>
      <c r="I47" s="8">
        <v>101</v>
      </c>
      <c r="J47" s="8">
        <f>C47*0.215</f>
        <v>0.43</v>
      </c>
      <c r="K47" s="8">
        <v>2200</v>
      </c>
      <c r="M47" s="13">
        <v>0.52500000000000002</v>
      </c>
      <c r="N47" s="13">
        <v>0.75</v>
      </c>
      <c r="O47" s="13">
        <v>0.97499999999999998</v>
      </c>
      <c r="P47" s="8">
        <f>M47*K47*J47</f>
        <v>496.65</v>
      </c>
      <c r="Q47" s="8">
        <f>N47*K47*J47</f>
        <v>709.5</v>
      </c>
      <c r="R47" s="8">
        <f>O47*K47*J47</f>
        <v>922.35</v>
      </c>
    </row>
    <row r="48" spans="1:22" ht="64" x14ac:dyDescent="0.2">
      <c r="A48" s="9" t="s">
        <v>11</v>
      </c>
      <c r="B48" s="10" t="s">
        <v>190</v>
      </c>
      <c r="C48" s="8">
        <v>619</v>
      </c>
      <c r="D48" s="11" t="s">
        <v>34</v>
      </c>
      <c r="E48" s="12">
        <v>5</v>
      </c>
      <c r="F48" s="12">
        <v>3095</v>
      </c>
      <c r="G48" s="8">
        <v>52</v>
      </c>
      <c r="H48" s="8">
        <v>72</v>
      </c>
      <c r="I48" s="8">
        <v>101</v>
      </c>
    </row>
    <row r="49" spans="1:19" ht="64" x14ac:dyDescent="0.2">
      <c r="A49" s="9" t="s">
        <v>12</v>
      </c>
      <c r="B49" s="10" t="s">
        <v>191</v>
      </c>
      <c r="C49" s="8">
        <v>113</v>
      </c>
      <c r="D49" s="11" t="s">
        <v>34</v>
      </c>
      <c r="E49" s="12">
        <v>10</v>
      </c>
      <c r="F49" s="12">
        <v>1130</v>
      </c>
      <c r="G49" s="8">
        <v>52</v>
      </c>
      <c r="H49" s="8">
        <v>72</v>
      </c>
      <c r="I49" s="8">
        <v>101</v>
      </c>
    </row>
    <row r="50" spans="1:19" ht="64" x14ac:dyDescent="0.2">
      <c r="A50" s="9" t="s">
        <v>13</v>
      </c>
      <c r="B50" s="10" t="s">
        <v>192</v>
      </c>
      <c r="C50" s="8">
        <v>62</v>
      </c>
      <c r="D50" s="11" t="s">
        <v>35</v>
      </c>
      <c r="E50" s="12">
        <v>72.2</v>
      </c>
      <c r="F50" s="12">
        <v>4476.3999999999996</v>
      </c>
      <c r="G50" s="8">
        <v>70</v>
      </c>
      <c r="H50" s="8">
        <v>93</v>
      </c>
      <c r="I50" s="8">
        <v>131</v>
      </c>
      <c r="J50" s="8">
        <f>C50*0.1025</f>
        <v>6.3549999999999995</v>
      </c>
      <c r="K50" s="8">
        <v>1920</v>
      </c>
      <c r="M50" s="8">
        <v>0.63</v>
      </c>
      <c r="N50" s="8">
        <v>3</v>
      </c>
      <c r="O50" s="8">
        <v>6</v>
      </c>
      <c r="P50" s="8">
        <f>M50*K50*J50</f>
        <v>7687.0079999999989</v>
      </c>
      <c r="Q50" s="8">
        <f t="shared" ref="Q50:Q57" si="3">N50*K50*J50</f>
        <v>36604.799999999996</v>
      </c>
      <c r="R50" s="8">
        <f t="shared" ref="R50:R57" si="4">O50*K50*J50</f>
        <v>73209.599999999991</v>
      </c>
      <c r="S50" s="8" t="s">
        <v>135</v>
      </c>
    </row>
    <row r="51" spans="1:19" ht="48" x14ac:dyDescent="0.2">
      <c r="A51" s="9" t="s">
        <v>14</v>
      </c>
      <c r="B51" s="10" t="s">
        <v>193</v>
      </c>
      <c r="C51" s="8">
        <v>220</v>
      </c>
      <c r="D51" s="11" t="s">
        <v>35</v>
      </c>
      <c r="E51" s="12">
        <v>3.6</v>
      </c>
      <c r="F51" s="12">
        <v>792</v>
      </c>
      <c r="G51" s="8">
        <v>50</v>
      </c>
      <c r="H51" s="8">
        <v>75</v>
      </c>
      <c r="I51" s="8">
        <v>100</v>
      </c>
      <c r="J51" s="8">
        <f>C51*0.125</f>
        <v>27.5</v>
      </c>
      <c r="K51" s="8">
        <v>7850</v>
      </c>
      <c r="M51" s="8">
        <v>11</v>
      </c>
      <c r="N51" s="8">
        <v>56.7</v>
      </c>
      <c r="O51" s="8">
        <v>82</v>
      </c>
      <c r="P51" s="8">
        <f>M51*K51*J51</f>
        <v>2374625</v>
      </c>
      <c r="Q51" s="8">
        <f t="shared" si="3"/>
        <v>12240112.5</v>
      </c>
      <c r="R51" s="8">
        <f t="shared" si="4"/>
        <v>17701750</v>
      </c>
      <c r="S51" s="8">
        <f t="shared" ref="S51:S56" si="5">Q51/F51</f>
        <v>15454.6875</v>
      </c>
    </row>
    <row r="52" spans="1:19" ht="64" x14ac:dyDescent="0.2">
      <c r="A52" s="9" t="s">
        <v>15</v>
      </c>
      <c r="B52" s="10" t="s">
        <v>194</v>
      </c>
      <c r="C52" s="8">
        <v>19</v>
      </c>
      <c r="D52" s="11" t="s">
        <v>35</v>
      </c>
      <c r="E52" s="12">
        <v>11.54</v>
      </c>
      <c r="F52" s="12">
        <v>219.26</v>
      </c>
      <c r="G52" s="8">
        <v>50</v>
      </c>
      <c r="H52" s="8">
        <v>75</v>
      </c>
      <c r="I52" s="8">
        <v>100</v>
      </c>
      <c r="J52" s="8">
        <f>C52*0.1</f>
        <v>1.9000000000000001</v>
      </c>
      <c r="K52" s="8">
        <v>7850</v>
      </c>
      <c r="M52" s="8">
        <v>11</v>
      </c>
      <c r="N52" s="8">
        <v>56.7</v>
      </c>
      <c r="O52" s="8">
        <v>82</v>
      </c>
      <c r="P52" s="8">
        <f>M52*K52*J52</f>
        <v>164065</v>
      </c>
      <c r="Q52" s="8">
        <f t="shared" si="3"/>
        <v>845680.50000000012</v>
      </c>
      <c r="R52" s="8">
        <f t="shared" si="4"/>
        <v>1223030</v>
      </c>
      <c r="S52" s="8">
        <f t="shared" si="5"/>
        <v>3856.9757365684582</v>
      </c>
    </row>
    <row r="53" spans="1:19" ht="64" x14ac:dyDescent="0.2">
      <c r="A53" s="9" t="s">
        <v>16</v>
      </c>
      <c r="B53" s="10" t="s">
        <v>195</v>
      </c>
      <c r="C53" s="8">
        <v>55</v>
      </c>
      <c r="D53" s="11" t="s">
        <v>35</v>
      </c>
      <c r="E53" s="12">
        <v>16.04</v>
      </c>
      <c r="F53" s="12">
        <v>882.2</v>
      </c>
      <c r="G53" s="8">
        <v>50</v>
      </c>
      <c r="H53" s="8">
        <v>75</v>
      </c>
      <c r="I53" s="8">
        <v>100</v>
      </c>
      <c r="J53" s="8">
        <f>C53*0.125</f>
        <v>6.875</v>
      </c>
      <c r="K53" s="8">
        <v>7850</v>
      </c>
      <c r="M53" s="8">
        <v>11</v>
      </c>
      <c r="N53" s="8">
        <v>56.7</v>
      </c>
      <c r="O53" s="8">
        <v>82</v>
      </c>
      <c r="P53" s="8">
        <f>M53*K53*J53</f>
        <v>593656.25</v>
      </c>
      <c r="Q53" s="8">
        <f t="shared" si="3"/>
        <v>3060028.125</v>
      </c>
      <c r="R53" s="8">
        <f t="shared" si="4"/>
        <v>4425437.5</v>
      </c>
      <c r="S53" s="8">
        <f t="shared" si="5"/>
        <v>3468.6331047381545</v>
      </c>
    </row>
    <row r="54" spans="1:19" ht="32" x14ac:dyDescent="0.2">
      <c r="A54" s="9" t="s">
        <v>17</v>
      </c>
      <c r="B54" s="10" t="s">
        <v>196</v>
      </c>
      <c r="C54" s="8">
        <v>87</v>
      </c>
      <c r="D54" s="11" t="s">
        <v>35</v>
      </c>
      <c r="E54" s="12">
        <v>16.45</v>
      </c>
      <c r="F54" s="12">
        <v>1431.15</v>
      </c>
      <c r="G54" s="8">
        <v>50</v>
      </c>
      <c r="H54" s="8">
        <v>75</v>
      </c>
      <c r="I54" s="8">
        <v>100</v>
      </c>
      <c r="J54" s="8">
        <f>C54*0.225</f>
        <v>19.574999999999999</v>
      </c>
      <c r="K54" s="8">
        <v>1650</v>
      </c>
      <c r="M54" s="8">
        <v>0.1</v>
      </c>
      <c r="N54" s="8">
        <v>1.54</v>
      </c>
      <c r="O54" s="8">
        <v>3.49</v>
      </c>
      <c r="P54" s="8">
        <f>M54*K54*J54</f>
        <v>3229.875</v>
      </c>
      <c r="Q54" s="8">
        <f t="shared" si="3"/>
        <v>49740.074999999997</v>
      </c>
      <c r="R54" s="8">
        <f t="shared" si="4"/>
        <v>112722.6375</v>
      </c>
      <c r="S54" s="8">
        <f t="shared" si="5"/>
        <v>34.755319148936167</v>
      </c>
    </row>
    <row r="55" spans="1:19" ht="48" x14ac:dyDescent="0.2">
      <c r="A55" s="9" t="s">
        <v>6</v>
      </c>
      <c r="B55" s="10" t="s">
        <v>197</v>
      </c>
      <c r="C55" s="8">
        <v>223</v>
      </c>
      <c r="D55" s="11" t="s">
        <v>36</v>
      </c>
      <c r="E55" s="12">
        <v>16.5</v>
      </c>
      <c r="F55" s="12">
        <v>3679.5</v>
      </c>
      <c r="J55" s="8">
        <f>0.215*0.14*0.05*223</f>
        <v>0.33561500000000005</v>
      </c>
      <c r="K55" s="8">
        <v>400</v>
      </c>
      <c r="L55" s="8" t="s">
        <v>136</v>
      </c>
      <c r="M55" s="8">
        <v>1.37</v>
      </c>
      <c r="N55" s="8">
        <v>1.37</v>
      </c>
      <c r="O55" s="8">
        <v>1.37</v>
      </c>
      <c r="P55" s="8">
        <f>K55*M55*J55</f>
        <v>183.91702000000004</v>
      </c>
      <c r="Q55" s="8">
        <f t="shared" si="3"/>
        <v>183.91702000000004</v>
      </c>
      <c r="R55" s="8">
        <f t="shared" si="4"/>
        <v>183.91702000000004</v>
      </c>
      <c r="S55" s="8">
        <f t="shared" si="5"/>
        <v>4.9984242424242431E-2</v>
      </c>
    </row>
    <row r="56" spans="1:19" ht="32" x14ac:dyDescent="0.2">
      <c r="A56" s="9" t="s">
        <v>9</v>
      </c>
      <c r="B56" s="10" t="s">
        <v>198</v>
      </c>
      <c r="C56" s="8">
        <v>18</v>
      </c>
      <c r="D56" s="11" t="s">
        <v>36</v>
      </c>
      <c r="E56" s="12">
        <v>60</v>
      </c>
      <c r="F56" s="12">
        <v>1080</v>
      </c>
      <c r="G56" s="8">
        <v>50</v>
      </c>
      <c r="H56" s="8">
        <v>75</v>
      </c>
      <c r="I56" s="8">
        <v>100</v>
      </c>
      <c r="J56" s="8">
        <f>0.44*0.215*0.1*C56</f>
        <v>0.17028000000000001</v>
      </c>
      <c r="K56" s="8">
        <v>1900</v>
      </c>
      <c r="M56" s="8">
        <v>1.2</v>
      </c>
      <c r="N56" s="8">
        <v>2.1800000000000002</v>
      </c>
      <c r="O56" s="8">
        <v>3.8</v>
      </c>
      <c r="P56" s="8">
        <f>M56*K56*J56</f>
        <v>388.23840000000001</v>
      </c>
      <c r="Q56" s="8">
        <f t="shared" si="3"/>
        <v>705.29976000000011</v>
      </c>
      <c r="R56" s="8">
        <f t="shared" si="4"/>
        <v>1229.4216000000001</v>
      </c>
      <c r="S56" s="8">
        <f t="shared" si="5"/>
        <v>0.65305533333333343</v>
      </c>
    </row>
    <row r="57" spans="1:19" ht="32" x14ac:dyDescent="0.2">
      <c r="A57" s="9" t="s">
        <v>10</v>
      </c>
      <c r="B57" s="10" t="s">
        <v>199</v>
      </c>
      <c r="C57" s="8">
        <v>5</v>
      </c>
      <c r="D57" s="11" t="s">
        <v>36</v>
      </c>
      <c r="E57" s="12">
        <v>77.5</v>
      </c>
      <c r="F57" s="12">
        <v>387.5</v>
      </c>
      <c r="G57" s="8">
        <v>50</v>
      </c>
      <c r="H57" s="8">
        <v>75</v>
      </c>
      <c r="I57" s="8">
        <v>100</v>
      </c>
      <c r="J57" s="8">
        <f>0.6*0.215*0.1*C57</f>
        <v>6.4500000000000002E-2</v>
      </c>
      <c r="K57" s="8">
        <v>1900</v>
      </c>
      <c r="M57" s="8">
        <v>1.2</v>
      </c>
      <c r="N57" s="8">
        <v>2.1800000000000002</v>
      </c>
      <c r="O57" s="8">
        <v>3.8</v>
      </c>
      <c r="P57" s="8">
        <f>M57*K57*J57</f>
        <v>147.06</v>
      </c>
      <c r="Q57" s="8">
        <f t="shared" si="3"/>
        <v>267.15899999999999</v>
      </c>
      <c r="R57" s="8">
        <f t="shared" si="4"/>
        <v>465.69</v>
      </c>
    </row>
    <row r="58" spans="1:19" ht="32" x14ac:dyDescent="0.2">
      <c r="A58" s="9" t="s">
        <v>11</v>
      </c>
      <c r="B58" s="10" t="s">
        <v>200</v>
      </c>
      <c r="C58" s="8">
        <v>3</v>
      </c>
      <c r="D58" s="11" t="s">
        <v>36</v>
      </c>
      <c r="E58" s="12">
        <v>130</v>
      </c>
      <c r="F58" s="12">
        <v>390</v>
      </c>
      <c r="G58" s="8">
        <v>50</v>
      </c>
      <c r="H58" s="8">
        <v>75</v>
      </c>
      <c r="I58" s="8">
        <v>100</v>
      </c>
      <c r="J58" s="8">
        <f>0.9*0.215*0.1*3</f>
        <v>5.8050000000000004E-2</v>
      </c>
      <c r="K58" s="8">
        <v>1900</v>
      </c>
      <c r="M58" s="8">
        <v>1.2</v>
      </c>
      <c r="N58" s="8">
        <v>2.1800000000000002</v>
      </c>
      <c r="O58" s="8">
        <v>3.8</v>
      </c>
      <c r="P58" s="8">
        <f t="shared" ref="P58:P59" si="6">M58*K58*J58</f>
        <v>132.35400000000001</v>
      </c>
      <c r="Q58" s="8">
        <f t="shared" ref="Q58:Q59" si="7">N58*K58*J58</f>
        <v>240.44310000000002</v>
      </c>
      <c r="R58" s="8">
        <f t="shared" ref="R58:R59" si="8">O58*K58*J58</f>
        <v>419.12100000000004</v>
      </c>
    </row>
    <row r="59" spans="1:19" ht="32" x14ac:dyDescent="0.2">
      <c r="A59" s="9" t="s">
        <v>12</v>
      </c>
      <c r="B59" s="10" t="s">
        <v>201</v>
      </c>
      <c r="C59" s="8">
        <v>3</v>
      </c>
      <c r="D59" s="11" t="s">
        <v>36</v>
      </c>
      <c r="E59" s="12">
        <v>135</v>
      </c>
      <c r="F59" s="12">
        <v>405</v>
      </c>
      <c r="G59" s="8">
        <v>50</v>
      </c>
      <c r="H59" s="8">
        <v>75</v>
      </c>
      <c r="I59" s="8">
        <v>100</v>
      </c>
      <c r="J59" s="8">
        <f>0.44*0.215*0.1*2*3</f>
        <v>5.6760000000000005E-2</v>
      </c>
      <c r="K59" s="8">
        <v>1900</v>
      </c>
      <c r="M59" s="8">
        <v>1.2</v>
      </c>
      <c r="N59" s="8">
        <v>2.1800000000000002</v>
      </c>
      <c r="O59" s="8">
        <v>3.8</v>
      </c>
      <c r="P59" s="8">
        <f t="shared" si="6"/>
        <v>129.4128</v>
      </c>
      <c r="Q59" s="8">
        <f t="shared" si="7"/>
        <v>235.09992000000003</v>
      </c>
      <c r="R59" s="8">
        <f t="shared" si="8"/>
        <v>409.80720000000002</v>
      </c>
    </row>
    <row r="60" spans="1:19" ht="176" x14ac:dyDescent="0.2">
      <c r="A60" s="9" t="s">
        <v>13</v>
      </c>
      <c r="B60" s="10" t="s">
        <v>202</v>
      </c>
      <c r="C60" s="8">
        <v>1</v>
      </c>
      <c r="D60" s="11" t="s">
        <v>7</v>
      </c>
      <c r="E60" s="12">
        <v>35137.64</v>
      </c>
      <c r="F60" s="12">
        <v>35137.64</v>
      </c>
      <c r="G60" s="8">
        <v>50</v>
      </c>
      <c r="H60" s="8">
        <v>75</v>
      </c>
      <c r="I60" s="8">
        <v>100</v>
      </c>
    </row>
    <row r="61" spans="1:19" ht="16" x14ac:dyDescent="0.2">
      <c r="A61" s="9" t="s">
        <v>14</v>
      </c>
      <c r="B61" s="10" t="s">
        <v>203</v>
      </c>
      <c r="C61" s="8">
        <v>0.77</v>
      </c>
      <c r="D61" s="11" t="s">
        <v>27</v>
      </c>
      <c r="E61" s="14" t="s">
        <v>37</v>
      </c>
      <c r="F61" s="14" t="s">
        <v>37</v>
      </c>
      <c r="G61" s="8">
        <v>47</v>
      </c>
      <c r="H61" s="8">
        <v>70</v>
      </c>
      <c r="I61" s="8">
        <v>110</v>
      </c>
      <c r="M61" s="8">
        <v>14.07</v>
      </c>
      <c r="N61" s="8">
        <v>20.100000000000001</v>
      </c>
      <c r="O61" s="8">
        <v>26.13</v>
      </c>
      <c r="P61" s="8">
        <f>M61*C61*1000</f>
        <v>10833.9</v>
      </c>
      <c r="Q61" s="8">
        <f>N61*C61*1000</f>
        <v>15477.000000000002</v>
      </c>
      <c r="R61" s="8">
        <f>O61*C61*1000</f>
        <v>20120.100000000002</v>
      </c>
    </row>
    <row r="62" spans="1:19" ht="32" x14ac:dyDescent="0.2">
      <c r="A62" s="9" t="s">
        <v>15</v>
      </c>
      <c r="B62" s="10" t="s">
        <v>204</v>
      </c>
      <c r="C62" s="8">
        <v>0.19</v>
      </c>
      <c r="D62" s="11" t="s">
        <v>27</v>
      </c>
      <c r="E62" s="14" t="s">
        <v>37</v>
      </c>
      <c r="F62" s="14" t="s">
        <v>37</v>
      </c>
      <c r="G62" s="8">
        <v>47</v>
      </c>
      <c r="H62" s="8">
        <v>70</v>
      </c>
      <c r="I62" s="8">
        <v>110</v>
      </c>
      <c r="M62" s="8">
        <v>14.07</v>
      </c>
      <c r="N62" s="8">
        <v>20.100000000000001</v>
      </c>
      <c r="O62" s="8">
        <v>26.13</v>
      </c>
      <c r="P62" s="8">
        <f t="shared" ref="P62:P64" si="9">M62*C62*1000</f>
        <v>2673.3</v>
      </c>
      <c r="Q62" s="8">
        <f t="shared" ref="Q62:Q64" si="10">N62*C62*1000</f>
        <v>3819.0000000000005</v>
      </c>
      <c r="R62" s="8">
        <f t="shared" ref="R62:R64" si="11">O62*C62*1000</f>
        <v>4964.7</v>
      </c>
    </row>
    <row r="63" spans="1:19" ht="32" x14ac:dyDescent="0.2">
      <c r="A63" s="9" t="s">
        <v>16</v>
      </c>
      <c r="B63" s="10" t="s">
        <v>205</v>
      </c>
      <c r="C63" s="8">
        <v>0.41</v>
      </c>
      <c r="D63" s="11" t="s">
        <v>27</v>
      </c>
      <c r="E63" s="14" t="s">
        <v>37</v>
      </c>
      <c r="F63" s="14" t="s">
        <v>37</v>
      </c>
      <c r="G63" s="8">
        <v>47</v>
      </c>
      <c r="H63" s="8">
        <v>70</v>
      </c>
      <c r="I63" s="8">
        <v>110</v>
      </c>
      <c r="M63" s="8">
        <v>14.07</v>
      </c>
      <c r="N63" s="8">
        <v>20.100000000000001</v>
      </c>
      <c r="O63" s="8">
        <v>26.13</v>
      </c>
      <c r="P63" s="8">
        <f t="shared" si="9"/>
        <v>5768.7</v>
      </c>
      <c r="Q63" s="8">
        <f t="shared" si="10"/>
        <v>8241</v>
      </c>
      <c r="R63" s="8">
        <f t="shared" si="11"/>
        <v>10713.3</v>
      </c>
    </row>
    <row r="64" spans="1:19" ht="48" x14ac:dyDescent="0.2">
      <c r="A64" s="9" t="s">
        <v>17</v>
      </c>
      <c r="B64" s="10" t="s">
        <v>206</v>
      </c>
      <c r="C64" s="8">
        <v>0.75</v>
      </c>
      <c r="D64" s="11" t="s">
        <v>27</v>
      </c>
      <c r="E64" s="14" t="s">
        <v>37</v>
      </c>
      <c r="F64" s="14" t="s">
        <v>37</v>
      </c>
      <c r="G64" s="8">
        <v>47</v>
      </c>
      <c r="H64" s="8">
        <v>70</v>
      </c>
      <c r="I64" s="8">
        <v>110</v>
      </c>
      <c r="M64" s="8">
        <v>14.07</v>
      </c>
      <c r="N64" s="8">
        <v>20.100000000000001</v>
      </c>
      <c r="O64" s="8">
        <v>26.13</v>
      </c>
      <c r="P64" s="8">
        <f t="shared" si="9"/>
        <v>10552.5</v>
      </c>
      <c r="Q64" s="8">
        <f t="shared" si="10"/>
        <v>15075.000000000002</v>
      </c>
      <c r="R64" s="8">
        <f t="shared" si="11"/>
        <v>19597.5</v>
      </c>
    </row>
    <row r="65" spans="1:18" ht="32" x14ac:dyDescent="0.2">
      <c r="A65" s="9" t="s">
        <v>6</v>
      </c>
      <c r="B65" s="10" t="s">
        <v>207</v>
      </c>
      <c r="C65" s="8">
        <v>6.21</v>
      </c>
      <c r="D65" s="11" t="s">
        <v>27</v>
      </c>
      <c r="E65" s="14" t="s">
        <v>37</v>
      </c>
      <c r="F65" s="14" t="s">
        <v>37</v>
      </c>
      <c r="G65" s="8">
        <v>47</v>
      </c>
      <c r="H65" s="8">
        <v>70</v>
      </c>
      <c r="I65" s="8">
        <v>110</v>
      </c>
      <c r="M65" s="8">
        <v>14.07</v>
      </c>
      <c r="N65" s="8">
        <v>20.100000000000001</v>
      </c>
      <c r="O65" s="8">
        <v>26.13</v>
      </c>
      <c r="P65" s="8">
        <f>M65*C65*1000</f>
        <v>87374.7</v>
      </c>
      <c r="Q65" s="8">
        <f>N65*C65*1000</f>
        <v>124821.00000000001</v>
      </c>
      <c r="R65" s="8">
        <f>O65*C65*1000</f>
        <v>162267.30000000002</v>
      </c>
    </row>
    <row r="66" spans="1:18" ht="32" x14ac:dyDescent="0.2">
      <c r="A66" s="9" t="s">
        <v>9</v>
      </c>
      <c r="B66" s="10" t="s">
        <v>208</v>
      </c>
      <c r="C66" s="8">
        <v>0.06</v>
      </c>
      <c r="D66" s="11" t="s">
        <v>27</v>
      </c>
      <c r="E66" s="14" t="s">
        <v>37</v>
      </c>
      <c r="F66" s="14" t="s">
        <v>37</v>
      </c>
      <c r="G66" s="8">
        <v>47</v>
      </c>
      <c r="H66" s="8">
        <v>70</v>
      </c>
      <c r="I66" s="8">
        <v>110</v>
      </c>
      <c r="M66" s="8">
        <v>14.07</v>
      </c>
      <c r="N66" s="8">
        <v>20.100000000000001</v>
      </c>
      <c r="O66" s="8">
        <v>26.13</v>
      </c>
      <c r="P66" s="8">
        <f t="shared" ref="P66:P69" si="12">M66*C66*1000</f>
        <v>844.19999999999993</v>
      </c>
      <c r="Q66" s="8">
        <f t="shared" ref="Q66:Q69" si="13">N66*C66*1000</f>
        <v>1206</v>
      </c>
      <c r="R66" s="8">
        <f t="shared" ref="R66:R69" si="14">O66*C66*1000</f>
        <v>1567.8</v>
      </c>
    </row>
    <row r="67" spans="1:18" ht="32" x14ac:dyDescent="0.2">
      <c r="A67" s="9" t="s">
        <v>10</v>
      </c>
      <c r="B67" s="10" t="s">
        <v>209</v>
      </c>
      <c r="C67" s="8">
        <v>1.51</v>
      </c>
      <c r="D67" s="11" t="s">
        <v>27</v>
      </c>
      <c r="E67" s="14" t="s">
        <v>37</v>
      </c>
      <c r="F67" s="14" t="s">
        <v>37</v>
      </c>
      <c r="G67" s="8">
        <v>47</v>
      </c>
      <c r="H67" s="8">
        <v>70</v>
      </c>
      <c r="I67" s="8">
        <v>110</v>
      </c>
      <c r="M67" s="8">
        <v>14.07</v>
      </c>
      <c r="N67" s="8">
        <v>20.100000000000001</v>
      </c>
      <c r="O67" s="8">
        <v>26.13</v>
      </c>
      <c r="P67" s="8">
        <f t="shared" si="12"/>
        <v>21245.7</v>
      </c>
      <c r="Q67" s="8">
        <f t="shared" si="13"/>
        <v>30351.000000000004</v>
      </c>
      <c r="R67" s="8">
        <f t="shared" si="14"/>
        <v>39456.299999999996</v>
      </c>
    </row>
    <row r="68" spans="1:18" ht="48" x14ac:dyDescent="0.2">
      <c r="A68" s="9" t="s">
        <v>11</v>
      </c>
      <c r="B68" s="10" t="s">
        <v>210</v>
      </c>
      <c r="C68" s="8">
        <v>0.44</v>
      </c>
      <c r="D68" s="11" t="s">
        <v>27</v>
      </c>
      <c r="E68" s="14" t="s">
        <v>37</v>
      </c>
      <c r="F68" s="14" t="s">
        <v>37</v>
      </c>
      <c r="G68" s="8">
        <v>47</v>
      </c>
      <c r="H68" s="8">
        <v>70</v>
      </c>
      <c r="I68" s="8">
        <v>110</v>
      </c>
      <c r="M68" s="8">
        <v>14.07</v>
      </c>
      <c r="N68" s="8">
        <v>20.100000000000001</v>
      </c>
      <c r="O68" s="8">
        <v>26.13</v>
      </c>
      <c r="P68" s="8">
        <f t="shared" si="12"/>
        <v>6190.8</v>
      </c>
      <c r="Q68" s="8">
        <f t="shared" si="13"/>
        <v>8844.0000000000018</v>
      </c>
      <c r="R68" s="8">
        <f t="shared" si="14"/>
        <v>11497.199999999999</v>
      </c>
    </row>
    <row r="69" spans="1:18" ht="32" x14ac:dyDescent="0.2">
      <c r="A69" s="9" t="s">
        <v>12</v>
      </c>
      <c r="B69" s="10" t="s">
        <v>211</v>
      </c>
      <c r="C69" s="8">
        <v>0.7</v>
      </c>
      <c r="D69" s="11" t="s">
        <v>27</v>
      </c>
      <c r="E69" s="14" t="s">
        <v>37</v>
      </c>
      <c r="F69" s="14" t="s">
        <v>37</v>
      </c>
      <c r="G69" s="8">
        <v>47</v>
      </c>
      <c r="H69" s="8">
        <v>70</v>
      </c>
      <c r="I69" s="8">
        <v>110</v>
      </c>
      <c r="M69" s="8">
        <v>14.07</v>
      </c>
      <c r="N69" s="8">
        <v>20.100000000000001</v>
      </c>
      <c r="O69" s="8">
        <v>26.13</v>
      </c>
      <c r="P69" s="8">
        <f t="shared" si="12"/>
        <v>9849</v>
      </c>
      <c r="Q69" s="8">
        <f t="shared" si="13"/>
        <v>14070</v>
      </c>
      <c r="R69" s="8">
        <f t="shared" si="14"/>
        <v>18290.999999999996</v>
      </c>
    </row>
    <row r="70" spans="1:18" ht="16" x14ac:dyDescent="0.2">
      <c r="A70" s="9" t="s">
        <v>14</v>
      </c>
      <c r="B70" s="10" t="s">
        <v>212</v>
      </c>
      <c r="C70" s="8">
        <v>1.92</v>
      </c>
      <c r="D70" s="11" t="s">
        <v>27</v>
      </c>
      <c r="E70" s="14" t="s">
        <v>37</v>
      </c>
      <c r="F70" s="14" t="s">
        <v>37</v>
      </c>
      <c r="G70" s="8">
        <v>47</v>
      </c>
      <c r="H70" s="8">
        <v>70</v>
      </c>
      <c r="I70" s="8">
        <v>110</v>
      </c>
      <c r="M70" s="8">
        <v>14.07</v>
      </c>
      <c r="N70" s="8">
        <v>20.100000000000001</v>
      </c>
      <c r="O70" s="8">
        <v>26.13</v>
      </c>
      <c r="P70" s="8">
        <f>M70*C70*1000</f>
        <v>27014.399999999998</v>
      </c>
      <c r="Q70" s="8">
        <f>N70*C70*1000</f>
        <v>38592</v>
      </c>
      <c r="R70" s="8">
        <f>O70*C70*1000</f>
        <v>50169.599999999999</v>
      </c>
    </row>
    <row r="71" spans="1:18" ht="32" x14ac:dyDescent="0.2">
      <c r="A71" s="9" t="s">
        <v>15</v>
      </c>
      <c r="B71" s="10" t="s">
        <v>213</v>
      </c>
      <c r="C71" s="8">
        <v>12.96</v>
      </c>
      <c r="D71" s="11" t="s">
        <v>27</v>
      </c>
      <c r="E71" s="14" t="s">
        <v>37</v>
      </c>
      <c r="F71" s="14" t="s">
        <v>37</v>
      </c>
      <c r="G71" s="8">
        <v>49</v>
      </c>
      <c r="H71" s="8">
        <v>73</v>
      </c>
      <c r="I71" s="8">
        <v>113</v>
      </c>
      <c r="M71" s="8">
        <v>14.07</v>
      </c>
      <c r="N71" s="8">
        <v>20.100000000000001</v>
      </c>
      <c r="O71" s="8">
        <v>26.13</v>
      </c>
      <c r="P71" s="8">
        <f>M71*C71*1000</f>
        <v>182347.2</v>
      </c>
      <c r="Q71" s="8">
        <f>N71*C71*1000</f>
        <v>260496.00000000003</v>
      </c>
      <c r="R71" s="8">
        <f>O71*C71*1000</f>
        <v>338644.80000000005</v>
      </c>
    </row>
    <row r="72" spans="1:18" ht="64" x14ac:dyDescent="0.2">
      <c r="A72" s="9" t="s">
        <v>16</v>
      </c>
      <c r="B72" s="10" t="s">
        <v>214</v>
      </c>
      <c r="C72" s="8">
        <v>1</v>
      </c>
      <c r="D72" s="11" t="s">
        <v>7</v>
      </c>
      <c r="E72" s="14" t="s">
        <v>37</v>
      </c>
      <c r="F72" s="14" t="s">
        <v>37</v>
      </c>
      <c r="G72" s="8">
        <v>83</v>
      </c>
      <c r="H72" s="8">
        <v>83</v>
      </c>
      <c r="I72" s="8">
        <v>83</v>
      </c>
    </row>
    <row r="73" spans="1:18" ht="32" x14ac:dyDescent="0.2">
      <c r="A73" s="9" t="s">
        <v>17</v>
      </c>
      <c r="B73" s="10" t="s">
        <v>215</v>
      </c>
      <c r="C73" s="8">
        <v>1</v>
      </c>
      <c r="D73" s="11" t="s">
        <v>7</v>
      </c>
      <c r="E73" s="14" t="s">
        <v>37</v>
      </c>
      <c r="F73" s="14" t="s">
        <v>37</v>
      </c>
    </row>
    <row r="74" spans="1:18" ht="48" x14ac:dyDescent="0.2">
      <c r="A74" s="9" t="s">
        <v>18</v>
      </c>
      <c r="B74" s="10" t="s">
        <v>216</v>
      </c>
      <c r="C74" s="8">
        <v>1</v>
      </c>
      <c r="D74" s="11" t="s">
        <v>7</v>
      </c>
      <c r="E74" s="14" t="s">
        <v>37</v>
      </c>
      <c r="F74" s="14" t="s">
        <v>37</v>
      </c>
    </row>
    <row r="75" spans="1:18" ht="48" x14ac:dyDescent="0.2">
      <c r="A75" s="9" t="s">
        <v>19</v>
      </c>
      <c r="B75" s="10" t="s">
        <v>217</v>
      </c>
      <c r="C75" s="8">
        <v>1</v>
      </c>
      <c r="D75" s="11" t="s">
        <v>7</v>
      </c>
      <c r="E75" s="14" t="s">
        <v>37</v>
      </c>
      <c r="F75" s="14" t="s">
        <v>37</v>
      </c>
    </row>
    <row r="76" spans="1:18" ht="48" x14ac:dyDescent="0.2">
      <c r="A76" s="9" t="s">
        <v>20</v>
      </c>
      <c r="B76" s="10" t="s">
        <v>218</v>
      </c>
      <c r="C76" s="8">
        <v>1</v>
      </c>
      <c r="D76" s="11" t="s">
        <v>7</v>
      </c>
      <c r="E76" s="14" t="s">
        <v>37</v>
      </c>
      <c r="F76" s="14" t="s">
        <v>37</v>
      </c>
    </row>
    <row r="77" spans="1:18" ht="48" x14ac:dyDescent="0.2">
      <c r="A77" s="9" t="s">
        <v>21</v>
      </c>
      <c r="B77" s="10" t="s">
        <v>219</v>
      </c>
      <c r="C77" s="8">
        <v>2</v>
      </c>
      <c r="D77" s="11" t="s">
        <v>36</v>
      </c>
      <c r="E77" s="12">
        <v>415</v>
      </c>
      <c r="F77" s="12">
        <v>830</v>
      </c>
      <c r="G77" s="8">
        <v>50</v>
      </c>
      <c r="H77" s="8">
        <v>75</v>
      </c>
      <c r="I77" s="8">
        <v>100</v>
      </c>
      <c r="J77" s="8" t="s">
        <v>98</v>
      </c>
      <c r="M77" s="8">
        <v>14.07</v>
      </c>
      <c r="N77" s="8">
        <v>20.100000000000001</v>
      </c>
      <c r="O77" s="8">
        <v>26.13</v>
      </c>
    </row>
    <row r="78" spans="1:18" ht="64" x14ac:dyDescent="0.2">
      <c r="A78" s="9" t="s">
        <v>22</v>
      </c>
      <c r="B78" s="10" t="s">
        <v>220</v>
      </c>
      <c r="C78" s="8">
        <v>5</v>
      </c>
      <c r="D78" s="11" t="s">
        <v>35</v>
      </c>
      <c r="E78" s="12">
        <v>16.2</v>
      </c>
      <c r="F78" s="12">
        <v>81</v>
      </c>
      <c r="G78" s="8">
        <v>12</v>
      </c>
      <c r="H78" s="8">
        <v>18</v>
      </c>
      <c r="I78" s="8">
        <v>26</v>
      </c>
      <c r="J78" s="8">
        <f>C78*0.0001</f>
        <v>5.0000000000000001E-4</v>
      </c>
      <c r="K78" s="8">
        <v>2400</v>
      </c>
      <c r="M78" s="8">
        <v>35.700000000000003</v>
      </c>
      <c r="N78" s="8">
        <v>51</v>
      </c>
      <c r="O78" s="8">
        <v>66.3</v>
      </c>
      <c r="P78" s="8">
        <f>M78*K78*J78</f>
        <v>42.84</v>
      </c>
      <c r="Q78" s="8">
        <f>N78*K78*J78</f>
        <v>61.2</v>
      </c>
      <c r="R78" s="8">
        <f>O78*K78*J78</f>
        <v>79.56</v>
      </c>
    </row>
    <row r="79" spans="1:18" ht="64" x14ac:dyDescent="0.2">
      <c r="A79" s="9" t="s">
        <v>6</v>
      </c>
      <c r="B79" s="10" t="s">
        <v>221</v>
      </c>
      <c r="C79" s="8">
        <v>35</v>
      </c>
      <c r="D79" s="11" t="s">
        <v>35</v>
      </c>
      <c r="E79" s="12">
        <v>10</v>
      </c>
      <c r="F79" s="12">
        <v>350</v>
      </c>
      <c r="G79" s="8">
        <v>49</v>
      </c>
      <c r="H79" s="8">
        <v>73</v>
      </c>
      <c r="I79" s="8">
        <v>113</v>
      </c>
    </row>
    <row r="80" spans="1:18" ht="80" x14ac:dyDescent="0.2">
      <c r="A80" s="9" t="s">
        <v>9</v>
      </c>
      <c r="B80" s="10" t="s">
        <v>222</v>
      </c>
      <c r="C80" s="8">
        <v>239</v>
      </c>
      <c r="D80" s="11" t="s">
        <v>35</v>
      </c>
      <c r="E80" s="12">
        <v>8</v>
      </c>
      <c r="F80" s="12">
        <v>1912</v>
      </c>
    </row>
    <row r="81" spans="1:18" ht="96" x14ac:dyDescent="0.2">
      <c r="A81" s="9" t="s">
        <v>6</v>
      </c>
      <c r="B81" s="10" t="s">
        <v>223</v>
      </c>
      <c r="C81" s="8">
        <v>48</v>
      </c>
      <c r="D81" s="11" t="s">
        <v>35</v>
      </c>
      <c r="E81" s="12">
        <v>69</v>
      </c>
      <c r="F81" s="12">
        <v>3312</v>
      </c>
      <c r="G81" s="8">
        <v>47</v>
      </c>
      <c r="H81" s="8">
        <v>72</v>
      </c>
      <c r="I81" s="8">
        <v>108</v>
      </c>
      <c r="J81" s="8">
        <f>C81*0.15</f>
        <v>7.1999999999999993</v>
      </c>
      <c r="K81" s="8">
        <v>1040</v>
      </c>
      <c r="M81" s="8">
        <v>1.2</v>
      </c>
      <c r="N81" s="8">
        <v>2.1800000000000002</v>
      </c>
      <c r="O81" s="8">
        <v>3.8</v>
      </c>
      <c r="P81" s="8">
        <f t="shared" ref="P81:P98" si="15">M81*K81*J81</f>
        <v>8985.5999999999985</v>
      </c>
      <c r="Q81" s="8">
        <f t="shared" ref="Q81:Q98" si="16">N81*K81*J81</f>
        <v>16323.84</v>
      </c>
      <c r="R81" s="8">
        <f t="shared" ref="R81:R98" si="17">O81*K81*J81</f>
        <v>28454.399999999998</v>
      </c>
    </row>
    <row r="82" spans="1:18" ht="96" x14ac:dyDescent="0.2">
      <c r="A82" s="9" t="s">
        <v>9</v>
      </c>
      <c r="B82" s="10" t="s">
        <v>224</v>
      </c>
      <c r="C82" s="8">
        <v>407</v>
      </c>
      <c r="D82" s="11" t="s">
        <v>35</v>
      </c>
      <c r="E82" s="12">
        <v>69</v>
      </c>
      <c r="F82" s="12">
        <v>28083</v>
      </c>
      <c r="G82" s="8">
        <v>42</v>
      </c>
      <c r="H82" s="8">
        <v>72</v>
      </c>
      <c r="I82" s="8">
        <v>108</v>
      </c>
      <c r="J82" s="8">
        <f>C82*0.15</f>
        <v>61.05</v>
      </c>
      <c r="K82" s="8">
        <v>1040</v>
      </c>
      <c r="M82" s="8">
        <v>1.2</v>
      </c>
      <c r="N82" s="8">
        <v>2.1800000000000002</v>
      </c>
      <c r="O82" s="8">
        <v>3.8</v>
      </c>
      <c r="P82" s="8">
        <f t="shared" si="15"/>
        <v>76190.399999999994</v>
      </c>
      <c r="Q82" s="8">
        <f t="shared" si="16"/>
        <v>138412.56</v>
      </c>
      <c r="R82" s="8">
        <f t="shared" si="17"/>
        <v>241269.59999999998</v>
      </c>
    </row>
    <row r="83" spans="1:18" ht="112" x14ac:dyDescent="0.2">
      <c r="A83" s="9" t="s">
        <v>10</v>
      </c>
      <c r="B83" s="10" t="s">
        <v>225</v>
      </c>
      <c r="C83" s="8">
        <v>1</v>
      </c>
      <c r="D83" s="11" t="s">
        <v>7</v>
      </c>
      <c r="E83" s="12">
        <v>2253</v>
      </c>
      <c r="F83" s="12">
        <v>2253</v>
      </c>
      <c r="G83" s="8">
        <v>35</v>
      </c>
      <c r="H83" s="8">
        <v>60</v>
      </c>
      <c r="I83" s="8">
        <v>95</v>
      </c>
      <c r="J83" s="8">
        <f>33*0.3*0.051*0.1524*17</f>
        <v>1.30809492</v>
      </c>
      <c r="K83" s="8">
        <v>650</v>
      </c>
      <c r="M83" s="8">
        <v>0.72</v>
      </c>
      <c r="N83" s="8">
        <v>7.11</v>
      </c>
      <c r="O83" s="8">
        <v>21.3</v>
      </c>
      <c r="P83" s="8">
        <f t="shared" si="15"/>
        <v>612.18842256000005</v>
      </c>
      <c r="Q83" s="8">
        <f t="shared" si="16"/>
        <v>6045.3606727800006</v>
      </c>
      <c r="R83" s="8">
        <f t="shared" si="17"/>
        <v>18110.574167400002</v>
      </c>
    </row>
    <row r="84" spans="1:18" ht="112" x14ac:dyDescent="0.2">
      <c r="A84" s="9" t="s">
        <v>11</v>
      </c>
      <c r="B84" s="10" t="s">
        <v>226</v>
      </c>
      <c r="C84" s="8">
        <v>1</v>
      </c>
      <c r="D84" s="11" t="s">
        <v>7</v>
      </c>
      <c r="E84" s="12">
        <v>2343</v>
      </c>
      <c r="F84" s="12">
        <v>2343</v>
      </c>
      <c r="G84" s="8">
        <v>35</v>
      </c>
      <c r="H84" s="8">
        <v>60</v>
      </c>
      <c r="I84" s="8">
        <v>95</v>
      </c>
      <c r="J84" s="8">
        <f>36.8*0.1524*0.051*14*0.3</f>
        <v>1.2013021439999998</v>
      </c>
      <c r="K84" s="8">
        <v>650</v>
      </c>
      <c r="M84" s="8">
        <v>0.72</v>
      </c>
      <c r="N84" s="8">
        <v>7.11</v>
      </c>
      <c r="O84" s="8">
        <v>21.3</v>
      </c>
      <c r="P84" s="8">
        <f t="shared" si="15"/>
        <v>562.2094033919999</v>
      </c>
      <c r="Q84" s="8">
        <f t="shared" si="16"/>
        <v>5551.8178584959987</v>
      </c>
      <c r="R84" s="8">
        <f t="shared" si="17"/>
        <v>16632.028183679999</v>
      </c>
    </row>
    <row r="85" spans="1:18" ht="112" x14ac:dyDescent="0.2">
      <c r="A85" s="9" t="s">
        <v>12</v>
      </c>
      <c r="B85" s="10" t="s">
        <v>227</v>
      </c>
      <c r="C85" s="8">
        <v>1</v>
      </c>
      <c r="D85" s="11" t="s">
        <v>7</v>
      </c>
      <c r="E85" s="12">
        <v>2178</v>
      </c>
      <c r="F85" s="12">
        <v>2178</v>
      </c>
      <c r="G85" s="8">
        <v>35</v>
      </c>
      <c r="H85" s="8">
        <v>60</v>
      </c>
      <c r="I85" s="8">
        <v>95</v>
      </c>
      <c r="J85" s="8">
        <f>35.7*14*0.3*0.1524*0.051</f>
        <v>1.1653936560000002</v>
      </c>
      <c r="K85" s="8">
        <v>650</v>
      </c>
      <c r="M85" s="8">
        <v>0.72</v>
      </c>
      <c r="N85" s="8">
        <v>7.11</v>
      </c>
      <c r="O85" s="8">
        <v>21.3</v>
      </c>
      <c r="P85" s="8">
        <f t="shared" si="15"/>
        <v>545.40423100800012</v>
      </c>
      <c r="Q85" s="8">
        <f t="shared" si="16"/>
        <v>5385.8667812040012</v>
      </c>
      <c r="R85" s="8">
        <f t="shared" si="17"/>
        <v>16134.875167320002</v>
      </c>
    </row>
    <row r="86" spans="1:18" ht="112" x14ac:dyDescent="0.2">
      <c r="A86" s="9" t="s">
        <v>13</v>
      </c>
      <c r="B86" s="10" t="s">
        <v>228</v>
      </c>
      <c r="C86" s="8">
        <v>1</v>
      </c>
      <c r="D86" s="11" t="s">
        <v>7</v>
      </c>
      <c r="E86" s="12">
        <v>2178</v>
      </c>
      <c r="F86" s="12">
        <v>2178</v>
      </c>
      <c r="G86" s="8">
        <v>35</v>
      </c>
      <c r="H86" s="8">
        <v>60</v>
      </c>
      <c r="I86" s="8">
        <v>95</v>
      </c>
      <c r="J86" s="8">
        <f>J85</f>
        <v>1.1653936560000002</v>
      </c>
      <c r="K86" s="8">
        <v>650</v>
      </c>
      <c r="M86" s="8">
        <v>0.72</v>
      </c>
      <c r="N86" s="8">
        <v>7.11</v>
      </c>
      <c r="O86" s="8">
        <v>21.3</v>
      </c>
      <c r="P86" s="8">
        <f t="shared" si="15"/>
        <v>545.40423100800012</v>
      </c>
      <c r="Q86" s="8">
        <f t="shared" si="16"/>
        <v>5385.8667812040012</v>
      </c>
      <c r="R86" s="8">
        <f t="shared" si="17"/>
        <v>16134.875167320002</v>
      </c>
    </row>
    <row r="87" spans="1:18" ht="112" x14ac:dyDescent="0.2">
      <c r="A87" s="9" t="s">
        <v>14</v>
      </c>
      <c r="B87" s="10" t="s">
        <v>229</v>
      </c>
      <c r="C87" s="8">
        <v>1</v>
      </c>
      <c r="D87" s="11" t="s">
        <v>7</v>
      </c>
      <c r="E87" s="12">
        <v>3052</v>
      </c>
      <c r="F87" s="12">
        <v>3052</v>
      </c>
      <c r="G87" s="8">
        <v>35</v>
      </c>
      <c r="H87" s="8">
        <v>60</v>
      </c>
      <c r="I87" s="8">
        <v>95</v>
      </c>
      <c r="J87" s="8">
        <f>J85</f>
        <v>1.1653936560000002</v>
      </c>
      <c r="K87" s="8">
        <v>650</v>
      </c>
      <c r="M87" s="8">
        <v>0.72</v>
      </c>
      <c r="N87" s="8">
        <v>7.11</v>
      </c>
      <c r="O87" s="8">
        <v>21.3</v>
      </c>
      <c r="P87" s="8">
        <f t="shared" si="15"/>
        <v>545.40423100800012</v>
      </c>
      <c r="Q87" s="8">
        <f t="shared" si="16"/>
        <v>5385.8667812040012</v>
      </c>
      <c r="R87" s="8">
        <f t="shared" si="17"/>
        <v>16134.875167320002</v>
      </c>
    </row>
    <row r="88" spans="1:18" ht="112" x14ac:dyDescent="0.2">
      <c r="A88" s="9" t="s">
        <v>15</v>
      </c>
      <c r="B88" s="10" t="s">
        <v>230</v>
      </c>
      <c r="C88" s="8">
        <v>2</v>
      </c>
      <c r="D88" s="11" t="s">
        <v>36</v>
      </c>
      <c r="E88" s="12">
        <v>12</v>
      </c>
      <c r="F88" s="12">
        <v>24</v>
      </c>
      <c r="G88" s="8">
        <v>35</v>
      </c>
      <c r="H88" s="8">
        <v>60</v>
      </c>
      <c r="I88" s="8">
        <v>95</v>
      </c>
      <c r="J88" s="8">
        <f>12.44*0.1524*0.051*2</f>
        <v>0.193377312</v>
      </c>
      <c r="K88" s="8">
        <v>650</v>
      </c>
      <c r="M88" s="8">
        <v>0.72</v>
      </c>
      <c r="N88" s="8">
        <v>7.11</v>
      </c>
      <c r="O88" s="8">
        <v>21.3</v>
      </c>
      <c r="P88" s="8">
        <f t="shared" si="15"/>
        <v>90.500582015999996</v>
      </c>
      <c r="Q88" s="8">
        <f t="shared" si="16"/>
        <v>893.69324740799993</v>
      </c>
      <c r="R88" s="8">
        <f t="shared" si="17"/>
        <v>2677.3088846400001</v>
      </c>
    </row>
    <row r="89" spans="1:18" ht="112" x14ac:dyDescent="0.2">
      <c r="A89" s="9" t="s">
        <v>16</v>
      </c>
      <c r="B89" s="10" t="s">
        <v>231</v>
      </c>
      <c r="C89" s="8">
        <v>2</v>
      </c>
      <c r="D89" s="11" t="s">
        <v>36</v>
      </c>
      <c r="E89" s="12">
        <v>15</v>
      </c>
      <c r="F89" s="12">
        <v>30</v>
      </c>
      <c r="G89" s="8">
        <v>35</v>
      </c>
      <c r="H89" s="8">
        <v>60</v>
      </c>
      <c r="I89" s="8">
        <v>95</v>
      </c>
      <c r="J89" s="8">
        <f>33.12*0.1524*0.051*2</f>
        <v>0.51484377599999986</v>
      </c>
      <c r="K89" s="8">
        <v>650</v>
      </c>
      <c r="M89" s="8">
        <v>0.72</v>
      </c>
      <c r="N89" s="8">
        <v>7.11</v>
      </c>
      <c r="O89" s="8">
        <v>21.3</v>
      </c>
      <c r="P89" s="8">
        <f t="shared" si="15"/>
        <v>240.94688716799993</v>
      </c>
      <c r="Q89" s="8">
        <f t="shared" si="16"/>
        <v>2379.3505107839992</v>
      </c>
      <c r="R89" s="8">
        <f t="shared" si="17"/>
        <v>7128.0120787199985</v>
      </c>
    </row>
    <row r="90" spans="1:18" ht="112" x14ac:dyDescent="0.2">
      <c r="A90" s="9" t="s">
        <v>17</v>
      </c>
      <c r="B90" s="10" t="s">
        <v>232</v>
      </c>
      <c r="C90" s="8">
        <v>2</v>
      </c>
      <c r="D90" s="11" t="s">
        <v>36</v>
      </c>
      <c r="E90" s="12">
        <v>15</v>
      </c>
      <c r="F90" s="12">
        <v>30</v>
      </c>
      <c r="G90" s="8">
        <v>35</v>
      </c>
      <c r="H90" s="8">
        <v>60</v>
      </c>
      <c r="I90" s="8">
        <v>95</v>
      </c>
      <c r="J90" s="8">
        <f>43.12*0.1524*0.051*C90</f>
        <v>0.67029177599999989</v>
      </c>
      <c r="K90" s="8">
        <v>650</v>
      </c>
      <c r="M90" s="8">
        <v>0.72</v>
      </c>
      <c r="N90" s="8">
        <v>7.11</v>
      </c>
      <c r="O90" s="8">
        <v>21.3</v>
      </c>
      <c r="P90" s="8">
        <f t="shared" si="15"/>
        <v>313.69655116799993</v>
      </c>
      <c r="Q90" s="8">
        <f t="shared" si="16"/>
        <v>3097.7534427839996</v>
      </c>
      <c r="R90" s="8">
        <f t="shared" si="17"/>
        <v>9280.1896387199977</v>
      </c>
    </row>
    <row r="91" spans="1:18" ht="32" x14ac:dyDescent="0.2">
      <c r="A91" s="9" t="s">
        <v>18</v>
      </c>
      <c r="B91" s="10" t="s">
        <v>233</v>
      </c>
      <c r="C91" s="8">
        <v>98</v>
      </c>
      <c r="D91" s="11" t="s">
        <v>34</v>
      </c>
      <c r="E91" s="12">
        <v>4.9000000000000004</v>
      </c>
      <c r="F91" s="12">
        <v>480.2</v>
      </c>
      <c r="G91" s="8">
        <v>42</v>
      </c>
      <c r="H91" s="8">
        <v>71</v>
      </c>
      <c r="I91" s="8">
        <v>109</v>
      </c>
      <c r="J91" s="8">
        <f>0.05*0.15*98</f>
        <v>0.73499999999999999</v>
      </c>
      <c r="K91" s="8">
        <v>630</v>
      </c>
      <c r="M91" s="8">
        <v>0.3</v>
      </c>
      <c r="N91" s="8">
        <v>5.55</v>
      </c>
      <c r="O91" s="8">
        <v>13</v>
      </c>
      <c r="P91" s="8">
        <f t="shared" si="15"/>
        <v>138.91499999999999</v>
      </c>
      <c r="Q91" s="8">
        <f t="shared" si="16"/>
        <v>2569.9274999999998</v>
      </c>
      <c r="R91" s="8">
        <f t="shared" si="17"/>
        <v>6019.65</v>
      </c>
    </row>
    <row r="92" spans="1:18" ht="48" x14ac:dyDescent="0.2">
      <c r="A92" s="9" t="s">
        <v>19</v>
      </c>
      <c r="B92" s="10" t="s">
        <v>234</v>
      </c>
      <c r="C92" s="8">
        <v>41</v>
      </c>
      <c r="D92" s="11" t="s">
        <v>34</v>
      </c>
      <c r="E92" s="12">
        <v>5.35</v>
      </c>
      <c r="F92" s="12">
        <v>219.35</v>
      </c>
      <c r="G92" s="8">
        <v>42</v>
      </c>
      <c r="H92" s="8">
        <v>71</v>
      </c>
      <c r="I92" s="8">
        <v>109</v>
      </c>
      <c r="J92" s="8">
        <f>0.05*0.15*41</f>
        <v>0.3075</v>
      </c>
      <c r="K92" s="8">
        <v>630</v>
      </c>
      <c r="M92" s="8">
        <v>0.3</v>
      </c>
      <c r="N92" s="8">
        <v>5.55</v>
      </c>
      <c r="O92" s="8">
        <v>13</v>
      </c>
      <c r="P92" s="8">
        <f t="shared" si="15"/>
        <v>58.1175</v>
      </c>
      <c r="Q92" s="8">
        <f t="shared" si="16"/>
        <v>1075.1737499999999</v>
      </c>
      <c r="R92" s="8">
        <f t="shared" si="17"/>
        <v>2518.4250000000002</v>
      </c>
    </row>
    <row r="93" spans="1:18" ht="48" x14ac:dyDescent="0.2">
      <c r="A93" s="9" t="s">
        <v>6</v>
      </c>
      <c r="B93" s="10" t="s">
        <v>235</v>
      </c>
      <c r="C93" s="8">
        <v>129</v>
      </c>
      <c r="D93" s="11" t="s">
        <v>36</v>
      </c>
      <c r="E93" s="12">
        <v>9</v>
      </c>
      <c r="F93" s="12">
        <v>1161</v>
      </c>
      <c r="G93" s="8">
        <v>35</v>
      </c>
      <c r="H93" s="8">
        <v>60</v>
      </c>
      <c r="I93" s="8">
        <v>95</v>
      </c>
      <c r="J93" s="8">
        <f>129*1.75*0.05*0.003</f>
        <v>3.3862500000000004E-2</v>
      </c>
      <c r="K93" s="8">
        <v>7800</v>
      </c>
      <c r="M93" s="8">
        <f>N93*0.7</f>
        <v>15.82</v>
      </c>
      <c r="N93" s="8">
        <v>22.6</v>
      </c>
      <c r="O93" s="8">
        <f>N93*1.3</f>
        <v>29.380000000000003</v>
      </c>
      <c r="P93" s="8">
        <f t="shared" si="15"/>
        <v>4178.4970500000009</v>
      </c>
      <c r="Q93" s="8">
        <f t="shared" si="16"/>
        <v>5969.281500000001</v>
      </c>
      <c r="R93" s="8">
        <f t="shared" si="17"/>
        <v>7760.065950000002</v>
      </c>
    </row>
    <row r="94" spans="1:18" ht="32" x14ac:dyDescent="0.2">
      <c r="A94" s="9" t="s">
        <v>9</v>
      </c>
      <c r="B94" s="10" t="s">
        <v>236</v>
      </c>
      <c r="C94" s="8">
        <v>160</v>
      </c>
      <c r="D94" s="11" t="s">
        <v>36</v>
      </c>
      <c r="E94" s="12">
        <v>2.4</v>
      </c>
      <c r="F94" s="12">
        <v>384</v>
      </c>
      <c r="G94" s="8">
        <v>35</v>
      </c>
      <c r="H94" s="8">
        <v>60</v>
      </c>
      <c r="I94" s="8">
        <v>95</v>
      </c>
      <c r="J94" s="8">
        <f>0.052*0.11*160</f>
        <v>0.9151999999999999</v>
      </c>
      <c r="K94" s="8">
        <v>7800</v>
      </c>
      <c r="M94" s="8">
        <v>15.82</v>
      </c>
      <c r="N94" s="8">
        <v>22.6</v>
      </c>
      <c r="O94" s="8">
        <v>29.38</v>
      </c>
      <c r="P94" s="8">
        <f t="shared" si="15"/>
        <v>112932.0192</v>
      </c>
      <c r="Q94" s="8">
        <f t="shared" si="16"/>
        <v>161331.45599999998</v>
      </c>
      <c r="R94" s="8">
        <f t="shared" si="17"/>
        <v>209730.89279999997</v>
      </c>
    </row>
    <row r="95" spans="1:18" ht="64" x14ac:dyDescent="0.2">
      <c r="A95" s="9" t="s">
        <v>10</v>
      </c>
      <c r="B95" s="10" t="s">
        <v>237</v>
      </c>
      <c r="C95" s="8">
        <v>270</v>
      </c>
      <c r="D95" s="11" t="s">
        <v>35</v>
      </c>
      <c r="E95" s="12">
        <v>8.0299999999999994</v>
      </c>
      <c r="F95" s="12">
        <v>2168.1</v>
      </c>
      <c r="G95" s="8">
        <v>32</v>
      </c>
      <c r="H95" s="8">
        <v>51</v>
      </c>
      <c r="I95" s="8">
        <v>69</v>
      </c>
      <c r="J95" s="8">
        <f>C95*0.3</f>
        <v>81</v>
      </c>
      <c r="K95" s="8">
        <v>650</v>
      </c>
      <c r="M95" s="8">
        <v>10</v>
      </c>
      <c r="N95" s="8">
        <v>24.8</v>
      </c>
      <c r="O95" s="8">
        <v>39</v>
      </c>
      <c r="P95" s="8">
        <f t="shared" si="15"/>
        <v>526500</v>
      </c>
      <c r="Q95" s="8">
        <f t="shared" si="16"/>
        <v>1305720</v>
      </c>
      <c r="R95" s="8">
        <f t="shared" si="17"/>
        <v>2053350</v>
      </c>
    </row>
    <row r="96" spans="1:18" ht="80" x14ac:dyDescent="0.2">
      <c r="A96" s="9" t="s">
        <v>11</v>
      </c>
      <c r="B96" s="10" t="s">
        <v>238</v>
      </c>
      <c r="C96" s="8">
        <v>23</v>
      </c>
      <c r="D96" s="11" t="s">
        <v>35</v>
      </c>
      <c r="E96" s="12">
        <v>94.3</v>
      </c>
      <c r="F96" s="12">
        <v>2168.9</v>
      </c>
      <c r="G96" s="8">
        <v>42</v>
      </c>
      <c r="H96" s="8">
        <v>71</v>
      </c>
      <c r="I96" s="8">
        <v>109</v>
      </c>
      <c r="J96" s="8">
        <f>C96*0.3</f>
        <v>6.8999999999999995</v>
      </c>
      <c r="K96" s="8">
        <v>700</v>
      </c>
      <c r="M96" s="8">
        <v>0.72</v>
      </c>
      <c r="N96" s="8">
        <v>10.4</v>
      </c>
      <c r="O96" s="8">
        <v>16</v>
      </c>
      <c r="P96" s="8">
        <f t="shared" si="15"/>
        <v>3477.6</v>
      </c>
      <c r="Q96" s="8">
        <f t="shared" si="16"/>
        <v>50231.999999999993</v>
      </c>
      <c r="R96" s="8">
        <f t="shared" si="17"/>
        <v>77280</v>
      </c>
    </row>
    <row r="97" spans="1:18" ht="48" x14ac:dyDescent="0.2">
      <c r="A97" s="9" t="s">
        <v>12</v>
      </c>
      <c r="B97" s="10" t="s">
        <v>239</v>
      </c>
      <c r="C97" s="8">
        <v>327</v>
      </c>
      <c r="D97" s="11" t="s">
        <v>34</v>
      </c>
      <c r="E97" s="12">
        <v>20.75</v>
      </c>
      <c r="F97" s="12">
        <v>6785.25</v>
      </c>
      <c r="G97" s="8">
        <v>50</v>
      </c>
      <c r="H97" s="8">
        <v>75</v>
      </c>
      <c r="I97" s="8">
        <v>100</v>
      </c>
      <c r="J97" s="8">
        <f>0.2*0.3*327</f>
        <v>19.62</v>
      </c>
      <c r="K97" s="8">
        <v>100</v>
      </c>
      <c r="M97" s="8">
        <v>16.8</v>
      </c>
      <c r="N97" s="8">
        <v>16.8</v>
      </c>
      <c r="O97" s="8">
        <v>16.8</v>
      </c>
      <c r="P97" s="8">
        <f t="shared" si="15"/>
        <v>32961.599999999999</v>
      </c>
      <c r="Q97" s="8">
        <f t="shared" si="16"/>
        <v>32961.599999999999</v>
      </c>
      <c r="R97" s="8">
        <f t="shared" si="17"/>
        <v>32961.599999999999</v>
      </c>
    </row>
    <row r="98" spans="1:18" ht="48" x14ac:dyDescent="0.2">
      <c r="A98" s="9" t="s">
        <v>6</v>
      </c>
      <c r="B98" s="10" t="s">
        <v>240</v>
      </c>
      <c r="C98" s="8">
        <v>41</v>
      </c>
      <c r="D98" s="11" t="s">
        <v>34</v>
      </c>
      <c r="E98" s="12">
        <v>4.9000000000000004</v>
      </c>
      <c r="F98" s="12">
        <v>200.9</v>
      </c>
      <c r="G98" s="8">
        <v>49</v>
      </c>
      <c r="H98" s="8">
        <v>82</v>
      </c>
      <c r="I98" s="8">
        <v>114</v>
      </c>
      <c r="J98" s="8">
        <f>0.15*0.05*41</f>
        <v>0.3075</v>
      </c>
      <c r="K98" s="8">
        <v>630</v>
      </c>
      <c r="M98" s="8">
        <v>0.72</v>
      </c>
      <c r="N98" s="8">
        <v>7.4</v>
      </c>
      <c r="O98" s="8">
        <v>13</v>
      </c>
      <c r="P98" s="8">
        <f t="shared" si="15"/>
        <v>139.482</v>
      </c>
      <c r="Q98" s="8">
        <f t="shared" si="16"/>
        <v>1433.5650000000001</v>
      </c>
      <c r="R98" s="8">
        <f t="shared" si="17"/>
        <v>2518.4250000000002</v>
      </c>
    </row>
    <row r="99" spans="1:18" ht="48" x14ac:dyDescent="0.2">
      <c r="A99" s="9" t="s">
        <v>9</v>
      </c>
      <c r="B99" s="10" t="s">
        <v>241</v>
      </c>
      <c r="C99" s="8">
        <v>65</v>
      </c>
      <c r="D99" s="11" t="s">
        <v>34</v>
      </c>
      <c r="E99" s="12">
        <v>5.0999999999999996</v>
      </c>
      <c r="F99" s="12">
        <v>331.5</v>
      </c>
      <c r="G99" s="8">
        <v>49</v>
      </c>
      <c r="H99" s="8">
        <v>82</v>
      </c>
      <c r="I99" s="8">
        <v>114</v>
      </c>
      <c r="J99" s="8">
        <f>0.15*0.05*65</f>
        <v>0.48749999999999999</v>
      </c>
      <c r="K99" s="8">
        <v>630</v>
      </c>
      <c r="M99" s="8">
        <v>0.72</v>
      </c>
      <c r="N99" s="8">
        <v>7.4</v>
      </c>
      <c r="O99" s="8">
        <v>13</v>
      </c>
      <c r="P99" s="8">
        <f t="shared" ref="P99:P109" si="18">M99*K99*J99</f>
        <v>221.12999999999997</v>
      </c>
      <c r="Q99" s="8">
        <f t="shared" ref="Q99:Q109" si="19">N99*K99*J99</f>
        <v>2272.7249999999999</v>
      </c>
      <c r="R99" s="8">
        <f t="shared" ref="R99:R109" si="20">O99*K99*J99</f>
        <v>3992.625</v>
      </c>
    </row>
    <row r="100" spans="1:18" ht="48" x14ac:dyDescent="0.2">
      <c r="A100" s="9" t="s">
        <v>10</v>
      </c>
      <c r="B100" s="10" t="s">
        <v>242</v>
      </c>
      <c r="C100" s="8">
        <v>913</v>
      </c>
      <c r="D100" s="11" t="s">
        <v>34</v>
      </c>
      <c r="E100" s="12">
        <v>5.88</v>
      </c>
      <c r="F100" s="12">
        <v>5368.44</v>
      </c>
      <c r="G100" s="8">
        <v>49</v>
      </c>
      <c r="H100" s="8">
        <v>82</v>
      </c>
      <c r="I100" s="8">
        <v>114</v>
      </c>
      <c r="J100" s="8">
        <f>0.175*0.05*C100</f>
        <v>7.9887499999999996</v>
      </c>
      <c r="K100" s="8">
        <v>630</v>
      </c>
      <c r="M100" s="8">
        <v>0.72</v>
      </c>
      <c r="N100" s="8">
        <v>7.4</v>
      </c>
      <c r="O100" s="8">
        <v>13</v>
      </c>
      <c r="P100" s="8">
        <f t="shared" si="18"/>
        <v>3623.6969999999997</v>
      </c>
      <c r="Q100" s="8">
        <f t="shared" si="19"/>
        <v>37243.552499999998</v>
      </c>
      <c r="R100" s="8">
        <f t="shared" si="20"/>
        <v>65427.862499999996</v>
      </c>
    </row>
    <row r="101" spans="1:18" ht="48" x14ac:dyDescent="0.2">
      <c r="A101" s="9" t="s">
        <v>11</v>
      </c>
      <c r="B101" s="10" t="s">
        <v>243</v>
      </c>
      <c r="C101" s="8">
        <v>15</v>
      </c>
      <c r="D101" s="11" t="s">
        <v>34</v>
      </c>
      <c r="E101" s="12">
        <v>6.38</v>
      </c>
      <c r="F101" s="12">
        <v>95.7</v>
      </c>
      <c r="G101" s="8">
        <v>49</v>
      </c>
      <c r="H101" s="8">
        <v>82</v>
      </c>
      <c r="I101" s="8">
        <v>114</v>
      </c>
      <c r="J101" s="8">
        <f>0.25*0.025*15</f>
        <v>9.375E-2</v>
      </c>
      <c r="K101" s="8">
        <v>630</v>
      </c>
      <c r="M101" s="8">
        <v>0.72</v>
      </c>
      <c r="N101" s="8">
        <v>7.4</v>
      </c>
      <c r="O101" s="8">
        <v>13</v>
      </c>
      <c r="P101" s="8">
        <f t="shared" si="18"/>
        <v>42.524999999999999</v>
      </c>
      <c r="Q101" s="8">
        <f t="shared" si="19"/>
        <v>437.0625</v>
      </c>
      <c r="R101" s="8">
        <f t="shared" si="20"/>
        <v>767.8125</v>
      </c>
    </row>
    <row r="102" spans="1:18" ht="48" x14ac:dyDescent="0.2">
      <c r="A102" s="9" t="s">
        <v>12</v>
      </c>
      <c r="B102" s="10" t="s">
        <v>244</v>
      </c>
      <c r="C102" s="8">
        <v>267</v>
      </c>
      <c r="D102" s="11" t="s">
        <v>34</v>
      </c>
      <c r="E102" s="12">
        <v>4.37</v>
      </c>
      <c r="F102" s="12">
        <v>1166.79</v>
      </c>
      <c r="G102" s="8">
        <v>49</v>
      </c>
      <c r="H102" s="8">
        <v>82</v>
      </c>
      <c r="I102" s="8">
        <v>114</v>
      </c>
      <c r="J102" s="8">
        <f>0.1*0.05*267</f>
        <v>1.3350000000000002</v>
      </c>
      <c r="K102" s="8">
        <v>630</v>
      </c>
      <c r="M102" s="8">
        <v>0.72</v>
      </c>
      <c r="N102" s="8">
        <v>7.4</v>
      </c>
      <c r="O102" s="8">
        <v>13</v>
      </c>
      <c r="P102" s="8">
        <f t="shared" si="18"/>
        <v>605.55600000000004</v>
      </c>
      <c r="Q102" s="8">
        <f t="shared" si="19"/>
        <v>6223.77</v>
      </c>
      <c r="R102" s="8">
        <f t="shared" si="20"/>
        <v>10933.650000000001</v>
      </c>
    </row>
    <row r="103" spans="1:18" ht="32" x14ac:dyDescent="0.2">
      <c r="A103" s="9" t="s">
        <v>13</v>
      </c>
      <c r="B103" s="10" t="s">
        <v>245</v>
      </c>
      <c r="C103" s="8">
        <v>30</v>
      </c>
      <c r="D103" s="11" t="s">
        <v>34</v>
      </c>
      <c r="E103" s="12">
        <v>5.37</v>
      </c>
      <c r="F103" s="12">
        <v>161.1</v>
      </c>
      <c r="G103" s="8">
        <v>23</v>
      </c>
      <c r="H103" s="8">
        <v>37</v>
      </c>
      <c r="I103" s="8">
        <v>53</v>
      </c>
      <c r="J103" s="8">
        <f>0.1*0.05*30</f>
        <v>0.15000000000000002</v>
      </c>
      <c r="K103" s="8">
        <v>630</v>
      </c>
      <c r="M103" s="8">
        <v>0.72</v>
      </c>
      <c r="N103" s="8">
        <v>7.4</v>
      </c>
      <c r="O103" s="8">
        <v>13</v>
      </c>
      <c r="P103" s="8">
        <f t="shared" si="18"/>
        <v>68.040000000000006</v>
      </c>
      <c r="Q103" s="8">
        <f t="shared" si="19"/>
        <v>699.30000000000007</v>
      </c>
      <c r="R103" s="8">
        <f t="shared" si="20"/>
        <v>1228.5000000000002</v>
      </c>
    </row>
    <row r="104" spans="1:18" ht="32" x14ac:dyDescent="0.2">
      <c r="A104" s="9" t="s">
        <v>14</v>
      </c>
      <c r="B104" s="10" t="s">
        <v>246</v>
      </c>
      <c r="C104" s="8">
        <v>183</v>
      </c>
      <c r="D104" s="11" t="s">
        <v>34</v>
      </c>
      <c r="E104" s="12">
        <v>5.37</v>
      </c>
      <c r="F104" s="12">
        <v>982.71</v>
      </c>
      <c r="G104" s="8">
        <v>23</v>
      </c>
      <c r="H104" s="8">
        <v>37</v>
      </c>
      <c r="I104" s="8">
        <v>53</v>
      </c>
      <c r="J104" s="8">
        <f>0.1*0.05*183</f>
        <v>0.91500000000000015</v>
      </c>
      <c r="K104" s="8">
        <v>630</v>
      </c>
      <c r="M104" s="8">
        <v>0.72</v>
      </c>
      <c r="N104" s="8">
        <v>7.4</v>
      </c>
      <c r="O104" s="8">
        <v>13</v>
      </c>
      <c r="P104" s="8">
        <f t="shared" si="18"/>
        <v>415.04400000000004</v>
      </c>
      <c r="Q104" s="8">
        <f t="shared" si="19"/>
        <v>4265.7300000000005</v>
      </c>
      <c r="R104" s="8">
        <f t="shared" si="20"/>
        <v>7493.8500000000013</v>
      </c>
    </row>
    <row r="105" spans="1:18" ht="48" x14ac:dyDescent="0.2">
      <c r="A105" s="9" t="s">
        <v>15</v>
      </c>
      <c r="B105" s="10" t="s">
        <v>247</v>
      </c>
      <c r="C105" s="8">
        <v>10</v>
      </c>
      <c r="D105" s="11" t="s">
        <v>34</v>
      </c>
      <c r="E105" s="12">
        <v>5.37</v>
      </c>
      <c r="F105" s="12">
        <v>53.7</v>
      </c>
      <c r="G105" s="8">
        <v>23</v>
      </c>
      <c r="H105" s="8">
        <v>37</v>
      </c>
      <c r="I105" s="8">
        <v>53</v>
      </c>
      <c r="J105" s="8">
        <f>0.1*0.05*C105</f>
        <v>5.000000000000001E-2</v>
      </c>
      <c r="K105" s="8">
        <v>630</v>
      </c>
      <c r="M105" s="8">
        <v>0.72</v>
      </c>
      <c r="N105" s="8">
        <v>7.4</v>
      </c>
      <c r="O105" s="8">
        <v>13</v>
      </c>
      <c r="P105" s="8">
        <f t="shared" si="18"/>
        <v>22.680000000000003</v>
      </c>
      <c r="Q105" s="8">
        <f t="shared" si="19"/>
        <v>233.10000000000005</v>
      </c>
      <c r="R105" s="8">
        <f t="shared" si="20"/>
        <v>409.50000000000006</v>
      </c>
    </row>
    <row r="106" spans="1:18" ht="32" x14ac:dyDescent="0.2">
      <c r="A106" s="9" t="s">
        <v>16</v>
      </c>
      <c r="B106" s="10" t="s">
        <v>248</v>
      </c>
      <c r="C106" s="8">
        <v>287</v>
      </c>
      <c r="D106" s="11" t="s">
        <v>34</v>
      </c>
      <c r="E106" s="12">
        <v>4.82</v>
      </c>
      <c r="F106" s="12">
        <v>1383.34</v>
      </c>
      <c r="G106" s="8">
        <v>23</v>
      </c>
      <c r="H106" s="8">
        <v>37</v>
      </c>
      <c r="I106" s="8">
        <v>53</v>
      </c>
      <c r="J106" s="8">
        <f>0.1*0.05*C106</f>
        <v>1.4350000000000003</v>
      </c>
      <c r="K106" s="8">
        <v>630</v>
      </c>
      <c r="M106" s="8">
        <v>0.72</v>
      </c>
      <c r="N106" s="8">
        <v>7.4</v>
      </c>
      <c r="O106" s="8">
        <v>13</v>
      </c>
      <c r="P106" s="8">
        <f t="shared" si="18"/>
        <v>650.91600000000005</v>
      </c>
      <c r="Q106" s="8">
        <f t="shared" si="19"/>
        <v>6689.9700000000012</v>
      </c>
      <c r="R106" s="8">
        <f t="shared" si="20"/>
        <v>11752.650000000001</v>
      </c>
    </row>
    <row r="107" spans="1:18" ht="32" x14ac:dyDescent="0.2">
      <c r="A107" s="9" t="s">
        <v>17</v>
      </c>
      <c r="B107" s="10" t="s">
        <v>249</v>
      </c>
      <c r="C107" s="8">
        <v>60</v>
      </c>
      <c r="D107" s="11" t="s">
        <v>34</v>
      </c>
      <c r="E107" s="12">
        <v>4.37</v>
      </c>
      <c r="F107" s="12">
        <v>262.2</v>
      </c>
      <c r="G107" s="8">
        <v>23</v>
      </c>
      <c r="H107" s="8">
        <v>37</v>
      </c>
      <c r="I107" s="8">
        <v>53</v>
      </c>
      <c r="J107" s="8">
        <f>0.1*0.05*C107</f>
        <v>0.30000000000000004</v>
      </c>
      <c r="K107" s="8">
        <v>630</v>
      </c>
      <c r="M107" s="8">
        <v>0.72</v>
      </c>
      <c r="N107" s="8">
        <v>7.4</v>
      </c>
      <c r="O107" s="8">
        <v>13</v>
      </c>
      <c r="P107" s="8">
        <f t="shared" si="18"/>
        <v>136.08000000000001</v>
      </c>
      <c r="Q107" s="8">
        <f t="shared" si="19"/>
        <v>1398.6000000000001</v>
      </c>
      <c r="R107" s="8">
        <f t="shared" si="20"/>
        <v>2457.0000000000005</v>
      </c>
    </row>
    <row r="108" spans="1:18" ht="32" x14ac:dyDescent="0.2">
      <c r="A108" s="9" t="s">
        <v>18</v>
      </c>
      <c r="B108" s="10" t="s">
        <v>250</v>
      </c>
      <c r="C108" s="8">
        <v>1235</v>
      </c>
      <c r="D108" s="11" t="s">
        <v>34</v>
      </c>
      <c r="E108" s="12">
        <v>3.04</v>
      </c>
      <c r="F108" s="12">
        <v>3754.4</v>
      </c>
      <c r="G108" s="8">
        <v>23</v>
      </c>
      <c r="H108" s="8">
        <v>37</v>
      </c>
      <c r="I108" s="8">
        <v>53</v>
      </c>
      <c r="J108" s="8">
        <f>0.05*0.05*1235</f>
        <v>3.0875000000000008</v>
      </c>
      <c r="K108" s="8">
        <v>630</v>
      </c>
      <c r="M108" s="8">
        <v>0.72</v>
      </c>
      <c r="N108" s="8">
        <v>7.4</v>
      </c>
      <c r="O108" s="8">
        <v>13</v>
      </c>
      <c r="P108" s="8">
        <f t="shared" si="18"/>
        <v>1400.4900000000002</v>
      </c>
      <c r="Q108" s="8">
        <f t="shared" si="19"/>
        <v>14393.925000000003</v>
      </c>
      <c r="R108" s="8">
        <f t="shared" si="20"/>
        <v>25286.625000000007</v>
      </c>
    </row>
    <row r="109" spans="1:18" ht="48" x14ac:dyDescent="0.2">
      <c r="A109" s="9" t="s">
        <v>19</v>
      </c>
      <c r="B109" s="10" t="s">
        <v>251</v>
      </c>
      <c r="C109" s="8">
        <v>378</v>
      </c>
      <c r="D109" s="11" t="s">
        <v>34</v>
      </c>
      <c r="E109" s="12">
        <v>3.04</v>
      </c>
      <c r="F109" s="12">
        <v>1149.1199999999999</v>
      </c>
      <c r="G109" s="8">
        <v>23</v>
      </c>
      <c r="H109" s="8">
        <v>37</v>
      </c>
      <c r="I109" s="8">
        <v>53</v>
      </c>
      <c r="J109" s="8">
        <f>0.05*0.05*378</f>
        <v>0.94500000000000017</v>
      </c>
      <c r="K109" s="8">
        <v>630</v>
      </c>
      <c r="M109" s="8">
        <v>0.72</v>
      </c>
      <c r="N109" s="8">
        <v>7.4</v>
      </c>
      <c r="O109" s="8">
        <v>13</v>
      </c>
      <c r="P109" s="8">
        <f t="shared" si="18"/>
        <v>428.65200000000004</v>
      </c>
      <c r="Q109" s="8">
        <f t="shared" si="19"/>
        <v>4405.5900000000011</v>
      </c>
      <c r="R109" s="8">
        <f t="shared" si="20"/>
        <v>7739.5500000000011</v>
      </c>
    </row>
    <row r="110" spans="1:18" ht="96" x14ac:dyDescent="0.2">
      <c r="A110" s="9" t="s">
        <v>20</v>
      </c>
      <c r="B110" s="10" t="s">
        <v>252</v>
      </c>
      <c r="C110" s="8">
        <v>90</v>
      </c>
      <c r="D110" s="11" t="s">
        <v>35</v>
      </c>
      <c r="E110" s="12">
        <v>35</v>
      </c>
      <c r="F110" s="12">
        <v>3150</v>
      </c>
      <c r="G110" s="8">
        <v>23</v>
      </c>
      <c r="H110" s="8">
        <v>37</v>
      </c>
      <c r="I110" s="8">
        <v>53</v>
      </c>
    </row>
    <row r="111" spans="1:18" ht="96" x14ac:dyDescent="0.2">
      <c r="A111" s="9" t="s">
        <v>21</v>
      </c>
      <c r="B111" s="10" t="s">
        <v>253</v>
      </c>
      <c r="C111" s="8">
        <v>8</v>
      </c>
      <c r="D111" s="11" t="s">
        <v>35</v>
      </c>
      <c r="E111" s="12">
        <v>35</v>
      </c>
      <c r="F111" s="12">
        <v>280</v>
      </c>
      <c r="G111" s="8">
        <v>23</v>
      </c>
      <c r="H111" s="8">
        <v>37</v>
      </c>
      <c r="I111" s="8">
        <v>53</v>
      </c>
    </row>
    <row r="112" spans="1:18" ht="96" x14ac:dyDescent="0.2">
      <c r="A112" s="9" t="s">
        <v>6</v>
      </c>
      <c r="B112" s="10" t="s">
        <v>254</v>
      </c>
      <c r="C112" s="8">
        <v>56</v>
      </c>
      <c r="D112" s="11" t="s">
        <v>35</v>
      </c>
      <c r="E112" s="12">
        <v>35</v>
      </c>
      <c r="F112" s="12">
        <v>1960</v>
      </c>
      <c r="G112" s="8">
        <v>30</v>
      </c>
      <c r="H112" s="8">
        <v>60</v>
      </c>
      <c r="I112" s="8">
        <v>80</v>
      </c>
    </row>
    <row r="113" spans="1:18" ht="96" x14ac:dyDescent="0.2">
      <c r="A113" s="9" t="s">
        <v>9</v>
      </c>
      <c r="B113" s="10" t="s">
        <v>255</v>
      </c>
      <c r="C113" s="8">
        <v>168</v>
      </c>
      <c r="D113" s="11" t="s">
        <v>35</v>
      </c>
      <c r="E113" s="12">
        <v>34.76</v>
      </c>
      <c r="F113" s="12">
        <v>5839.68</v>
      </c>
      <c r="G113" s="8">
        <v>30</v>
      </c>
      <c r="H113" s="8">
        <v>60</v>
      </c>
      <c r="I113" s="8">
        <v>80</v>
      </c>
    </row>
    <row r="114" spans="1:18" ht="112" x14ac:dyDescent="0.2">
      <c r="A114" s="9" t="s">
        <v>10</v>
      </c>
      <c r="B114" s="10" t="s">
        <v>256</v>
      </c>
      <c r="C114" s="8">
        <v>157</v>
      </c>
      <c r="D114" s="11" t="s">
        <v>35</v>
      </c>
      <c r="E114" s="12">
        <v>26.25</v>
      </c>
      <c r="F114" s="12">
        <v>4121.25</v>
      </c>
      <c r="G114" s="8">
        <v>30</v>
      </c>
      <c r="H114" s="8">
        <v>60</v>
      </c>
      <c r="I114" s="8">
        <v>80</v>
      </c>
    </row>
    <row r="115" spans="1:18" ht="96" x14ac:dyDescent="0.2">
      <c r="A115" s="9" t="s">
        <v>11</v>
      </c>
      <c r="B115" s="10" t="s">
        <v>257</v>
      </c>
      <c r="C115" s="8">
        <v>104</v>
      </c>
      <c r="D115" s="11" t="s">
        <v>35</v>
      </c>
      <c r="E115" s="12">
        <v>27.83</v>
      </c>
      <c r="F115" s="12">
        <v>2894.32</v>
      </c>
      <c r="G115" s="8">
        <v>30</v>
      </c>
      <c r="H115" s="8">
        <v>60</v>
      </c>
      <c r="I115" s="8">
        <v>80</v>
      </c>
    </row>
    <row r="116" spans="1:18" ht="32" x14ac:dyDescent="0.2">
      <c r="A116" s="9" t="s">
        <v>12</v>
      </c>
      <c r="B116" s="10" t="s">
        <v>258</v>
      </c>
      <c r="C116" s="8">
        <v>158</v>
      </c>
      <c r="D116" s="11" t="s">
        <v>34</v>
      </c>
      <c r="E116" s="12">
        <v>10</v>
      </c>
      <c r="F116" s="12">
        <v>1580</v>
      </c>
      <c r="G116" s="8">
        <v>23</v>
      </c>
      <c r="H116" s="8">
        <v>36</v>
      </c>
      <c r="I116" s="8">
        <v>49</v>
      </c>
      <c r="J116" s="8">
        <f>0.3*0.012*158</f>
        <v>0.56879999999999997</v>
      </c>
      <c r="K116" s="8">
        <v>700</v>
      </c>
      <c r="M116" s="8">
        <v>10</v>
      </c>
      <c r="N116" s="8">
        <v>15</v>
      </c>
      <c r="O116" s="8">
        <v>20</v>
      </c>
      <c r="P116" s="8">
        <f>M116*K116*J116</f>
        <v>3981.6</v>
      </c>
      <c r="Q116" s="8">
        <f>N116*K116*J116</f>
        <v>5972.4</v>
      </c>
      <c r="R116" s="8">
        <f>O116*K116*J116</f>
        <v>7963.2</v>
      </c>
    </row>
    <row r="117" spans="1:18" ht="48" x14ac:dyDescent="0.2">
      <c r="A117" s="9" t="s">
        <v>13</v>
      </c>
      <c r="B117" s="10" t="s">
        <v>259</v>
      </c>
      <c r="C117" s="8">
        <v>50</v>
      </c>
      <c r="D117" s="11" t="s">
        <v>36</v>
      </c>
      <c r="E117" s="12">
        <v>9.1999999999999993</v>
      </c>
      <c r="F117" s="12">
        <v>460</v>
      </c>
      <c r="G117" s="8">
        <v>24</v>
      </c>
      <c r="H117" s="8">
        <v>34</v>
      </c>
      <c r="I117" s="8">
        <v>42</v>
      </c>
      <c r="J117" s="8">
        <f>1.7*0.05*0.003*C117</f>
        <v>1.2750000000000001E-2</v>
      </c>
      <c r="K117" s="8">
        <v>7800</v>
      </c>
      <c r="M117" s="8">
        <f>N117*0.7</f>
        <v>15.82</v>
      </c>
      <c r="N117" s="8">
        <v>22.6</v>
      </c>
      <c r="O117" s="8">
        <f>N117*1.3</f>
        <v>29.380000000000003</v>
      </c>
      <c r="P117" s="8">
        <f>M117*K117*J117</f>
        <v>1573.2990000000002</v>
      </c>
      <c r="Q117" s="8">
        <f>N117*K117*J117</f>
        <v>2247.5700000000002</v>
      </c>
      <c r="R117" s="8">
        <f>O117*K117*J117</f>
        <v>2921.8410000000008</v>
      </c>
    </row>
    <row r="118" spans="1:18" ht="32" x14ac:dyDescent="0.2">
      <c r="A118" s="9" t="s">
        <v>14</v>
      </c>
      <c r="B118" s="10" t="s">
        <v>39</v>
      </c>
      <c r="C118" s="8">
        <v>228</v>
      </c>
      <c r="D118" s="11" t="s">
        <v>36</v>
      </c>
      <c r="E118" s="12">
        <v>8.3800000000000008</v>
      </c>
      <c r="F118" s="12">
        <v>1910.64</v>
      </c>
      <c r="G118" s="8">
        <v>24</v>
      </c>
      <c r="H118" s="8">
        <v>34</v>
      </c>
      <c r="I118" s="8">
        <v>42</v>
      </c>
      <c r="J118" s="8">
        <f>1.2*0.05*0.003*228</f>
        <v>4.1039999999999993E-2</v>
      </c>
      <c r="K118" s="8">
        <v>7800</v>
      </c>
      <c r="M118" s="8">
        <v>15.82</v>
      </c>
      <c r="N118" s="8">
        <v>22.6</v>
      </c>
      <c r="O118" s="8">
        <v>29.38</v>
      </c>
      <c r="P118" s="8">
        <f>M118*K118*J118</f>
        <v>5064.1718399999991</v>
      </c>
      <c r="Q118" s="8">
        <f>N118*K118*J118</f>
        <v>7234.5311999999985</v>
      </c>
      <c r="R118" s="8">
        <f>O118*K118*J118</f>
        <v>9404.890559999998</v>
      </c>
    </row>
    <row r="119" spans="1:18" ht="32" x14ac:dyDescent="0.2">
      <c r="A119" s="9" t="s">
        <v>15</v>
      </c>
      <c r="B119" s="10" t="s">
        <v>260</v>
      </c>
      <c r="C119" s="8">
        <v>1</v>
      </c>
      <c r="D119" s="11" t="s">
        <v>7</v>
      </c>
      <c r="E119" s="12">
        <v>500</v>
      </c>
      <c r="F119" s="12">
        <v>500</v>
      </c>
      <c r="G119" s="8">
        <v>24</v>
      </c>
      <c r="H119" s="8">
        <v>34</v>
      </c>
      <c r="I119" s="8">
        <v>42</v>
      </c>
    </row>
    <row r="120" spans="1:18" ht="64" x14ac:dyDescent="0.2">
      <c r="A120" s="9" t="s">
        <v>16</v>
      </c>
      <c r="B120" s="10" t="s">
        <v>261</v>
      </c>
      <c r="C120" s="8">
        <v>68</v>
      </c>
      <c r="D120" s="11" t="s">
        <v>35</v>
      </c>
      <c r="E120" s="12">
        <v>45</v>
      </c>
      <c r="F120" s="12">
        <v>3060</v>
      </c>
      <c r="G120" s="8">
        <v>17</v>
      </c>
      <c r="H120" s="8">
        <v>26</v>
      </c>
      <c r="I120" s="8">
        <v>36</v>
      </c>
      <c r="J120" s="8">
        <f>68*0.005</f>
        <v>0.34</v>
      </c>
      <c r="K120" s="8">
        <v>1600</v>
      </c>
      <c r="L120" s="8" t="s">
        <v>944</v>
      </c>
      <c r="M120" s="8">
        <v>0.1</v>
      </c>
      <c r="N120" s="8">
        <v>0.5</v>
      </c>
      <c r="O120" s="8">
        <v>1</v>
      </c>
      <c r="P120" s="8">
        <f>M120*K120*J120</f>
        <v>54.400000000000006</v>
      </c>
      <c r="Q120" s="8">
        <f>N120*K120*J120</f>
        <v>272</v>
      </c>
      <c r="R120" s="8">
        <f>O120*K120*J120</f>
        <v>544</v>
      </c>
    </row>
    <row r="121" spans="1:18" ht="64" x14ac:dyDescent="0.2">
      <c r="A121" s="9" t="s">
        <v>17</v>
      </c>
      <c r="B121" s="10" t="s">
        <v>262</v>
      </c>
      <c r="C121" s="8">
        <v>914</v>
      </c>
      <c r="D121" s="11" t="s">
        <v>35</v>
      </c>
      <c r="E121" s="12">
        <v>35</v>
      </c>
      <c r="F121" s="12">
        <v>31990</v>
      </c>
      <c r="G121" s="8">
        <v>17</v>
      </c>
      <c r="H121" s="8">
        <v>26</v>
      </c>
      <c r="I121" s="8">
        <v>36</v>
      </c>
      <c r="J121" s="8">
        <f>C121*0.025</f>
        <v>22.85</v>
      </c>
      <c r="K121" s="8">
        <v>1600</v>
      </c>
      <c r="M121" s="8">
        <v>0.1</v>
      </c>
      <c r="N121" s="8">
        <v>0.5</v>
      </c>
      <c r="O121" s="8">
        <v>1</v>
      </c>
      <c r="P121" s="8">
        <f>M121*K121*J121</f>
        <v>3656</v>
      </c>
      <c r="Q121" s="8">
        <f>N121*K121*J121</f>
        <v>18280</v>
      </c>
      <c r="R121" s="8">
        <f>O121*K121*J121</f>
        <v>36560</v>
      </c>
    </row>
    <row r="122" spans="1:18" ht="96" x14ac:dyDescent="0.2">
      <c r="A122" s="9" t="s">
        <v>18</v>
      </c>
      <c r="B122" s="10" t="s">
        <v>263</v>
      </c>
      <c r="C122" s="8">
        <v>71</v>
      </c>
      <c r="D122" s="11" t="s">
        <v>34</v>
      </c>
      <c r="E122" s="12">
        <v>12</v>
      </c>
      <c r="F122" s="12">
        <v>852</v>
      </c>
      <c r="G122" s="8">
        <v>17</v>
      </c>
      <c r="H122" s="8">
        <v>26</v>
      </c>
      <c r="I122" s="8">
        <v>36</v>
      </c>
      <c r="J122" s="8">
        <f>C122*0.038*0.025</f>
        <v>6.7449999999999996E-2</v>
      </c>
      <c r="K122" s="8">
        <v>1600</v>
      </c>
      <c r="M122" s="8">
        <v>0.1</v>
      </c>
      <c r="N122" s="8">
        <v>0.5</v>
      </c>
      <c r="O122" s="8">
        <v>1</v>
      </c>
      <c r="P122" s="8">
        <f t="shared" ref="P122:P124" si="21">M122*K122*J122</f>
        <v>10.792</v>
      </c>
      <c r="Q122" s="8">
        <f t="shared" ref="Q122:Q124" si="22">N122*K122*J122</f>
        <v>53.959999999999994</v>
      </c>
      <c r="R122" s="8">
        <f t="shared" ref="R122:R124" si="23">O122*K122*J122</f>
        <v>107.91999999999999</v>
      </c>
    </row>
    <row r="123" spans="1:18" ht="96" x14ac:dyDescent="0.2">
      <c r="A123" s="9" t="s">
        <v>19</v>
      </c>
      <c r="B123" s="10" t="s">
        <v>264</v>
      </c>
      <c r="C123" s="8">
        <v>10</v>
      </c>
      <c r="D123" s="11" t="s">
        <v>34</v>
      </c>
      <c r="E123" s="12">
        <v>8</v>
      </c>
      <c r="F123" s="12">
        <v>80</v>
      </c>
      <c r="G123" s="8">
        <v>17</v>
      </c>
      <c r="H123" s="8">
        <v>26</v>
      </c>
      <c r="I123" s="8">
        <v>36</v>
      </c>
      <c r="J123" s="8">
        <f>C123*0.038*0.025</f>
        <v>9.5000000000000015E-3</v>
      </c>
      <c r="K123" s="8">
        <v>1600</v>
      </c>
      <c r="M123" s="8">
        <v>0.1</v>
      </c>
      <c r="N123" s="8">
        <v>0.5</v>
      </c>
      <c r="O123" s="8">
        <v>1</v>
      </c>
      <c r="P123" s="8">
        <f t="shared" si="21"/>
        <v>1.5200000000000002</v>
      </c>
      <c r="Q123" s="8">
        <f t="shared" si="22"/>
        <v>7.6000000000000014</v>
      </c>
      <c r="R123" s="8">
        <f t="shared" si="23"/>
        <v>15.200000000000003</v>
      </c>
    </row>
    <row r="124" spans="1:18" ht="96" x14ac:dyDescent="0.2">
      <c r="A124" s="9" t="s">
        <v>20</v>
      </c>
      <c r="B124" s="10" t="s">
        <v>265</v>
      </c>
      <c r="C124" s="8">
        <v>23</v>
      </c>
      <c r="D124" s="11" t="s">
        <v>34</v>
      </c>
      <c r="E124" s="12">
        <v>8</v>
      </c>
      <c r="F124" s="12">
        <v>184</v>
      </c>
      <c r="G124" s="8">
        <v>17</v>
      </c>
      <c r="H124" s="8">
        <v>26</v>
      </c>
      <c r="I124" s="8">
        <v>36</v>
      </c>
      <c r="J124" s="8">
        <f>C124*0.038*0.025</f>
        <v>2.1850000000000001E-2</v>
      </c>
      <c r="K124" s="8">
        <v>1600</v>
      </c>
      <c r="M124" s="8">
        <v>0.1</v>
      </c>
      <c r="N124" s="8">
        <v>0.5</v>
      </c>
      <c r="O124" s="8">
        <v>1</v>
      </c>
      <c r="P124" s="8">
        <f t="shared" si="21"/>
        <v>3.4960000000000004</v>
      </c>
      <c r="Q124" s="8">
        <f t="shared" si="22"/>
        <v>17.48</v>
      </c>
      <c r="R124" s="8">
        <f t="shared" si="23"/>
        <v>34.96</v>
      </c>
    </row>
    <row r="125" spans="1:18" ht="96" x14ac:dyDescent="0.2">
      <c r="A125" s="9" t="s">
        <v>21</v>
      </c>
      <c r="B125" s="10" t="s">
        <v>266</v>
      </c>
      <c r="C125" s="8">
        <v>318</v>
      </c>
      <c r="D125" s="11" t="s">
        <v>34</v>
      </c>
      <c r="E125" s="12">
        <v>13</v>
      </c>
      <c r="F125" s="12">
        <v>4134</v>
      </c>
      <c r="G125" s="8">
        <v>17</v>
      </c>
      <c r="H125" s="8">
        <v>26</v>
      </c>
      <c r="I125" s="8">
        <v>36</v>
      </c>
      <c r="J125" s="8">
        <f>0.45*0.45*318</f>
        <v>64.39500000000001</v>
      </c>
      <c r="K125" s="8">
        <v>1600</v>
      </c>
      <c r="M125" s="8">
        <v>0.1</v>
      </c>
      <c r="N125" s="8">
        <v>0.5</v>
      </c>
      <c r="O125" s="8">
        <v>1</v>
      </c>
      <c r="P125" s="8">
        <f>M125*K125*J125</f>
        <v>10303.200000000001</v>
      </c>
      <c r="Q125" s="8">
        <f>N125*K125*J125</f>
        <v>51516.000000000007</v>
      </c>
      <c r="R125" s="8">
        <f>O125*K125*J125</f>
        <v>103032.00000000001</v>
      </c>
    </row>
    <row r="126" spans="1:18" ht="96" x14ac:dyDescent="0.2">
      <c r="A126" s="9" t="s">
        <v>22</v>
      </c>
      <c r="B126" s="10" t="s">
        <v>267</v>
      </c>
      <c r="C126" s="8">
        <v>60</v>
      </c>
      <c r="D126" s="11" t="s">
        <v>34</v>
      </c>
      <c r="E126" s="12">
        <v>23</v>
      </c>
      <c r="F126" s="12">
        <v>1380</v>
      </c>
      <c r="G126" s="8">
        <v>17</v>
      </c>
      <c r="H126" s="8">
        <v>26</v>
      </c>
      <c r="I126" s="8">
        <v>36</v>
      </c>
      <c r="K126" s="8">
        <v>1600</v>
      </c>
      <c r="M126" s="8">
        <v>0.1</v>
      </c>
      <c r="N126" s="8">
        <v>0.5</v>
      </c>
      <c r="O126" s="8">
        <v>1</v>
      </c>
    </row>
    <row r="127" spans="1:18" ht="48" x14ac:dyDescent="0.2">
      <c r="A127" s="9" t="s">
        <v>6</v>
      </c>
      <c r="B127" s="10" t="s">
        <v>268</v>
      </c>
      <c r="C127" s="8">
        <v>103</v>
      </c>
      <c r="D127" s="11" t="s">
        <v>34</v>
      </c>
      <c r="E127" s="12">
        <v>31</v>
      </c>
      <c r="F127" s="12">
        <v>3193</v>
      </c>
      <c r="G127" s="8">
        <v>17</v>
      </c>
      <c r="H127" s="8">
        <v>26</v>
      </c>
      <c r="I127" s="8">
        <v>36</v>
      </c>
      <c r="K127" s="8">
        <v>1600</v>
      </c>
      <c r="M127" s="8">
        <v>0.1</v>
      </c>
      <c r="N127" s="8">
        <v>0.5</v>
      </c>
      <c r="O127" s="8">
        <v>1</v>
      </c>
    </row>
    <row r="128" spans="1:18" ht="32" x14ac:dyDescent="0.2">
      <c r="A128" s="9" t="s">
        <v>9</v>
      </c>
      <c r="B128" s="10" t="s">
        <v>269</v>
      </c>
      <c r="C128" s="8">
        <v>185</v>
      </c>
      <c r="D128" s="11" t="s">
        <v>34</v>
      </c>
      <c r="E128" s="12">
        <v>45</v>
      </c>
      <c r="F128" s="12">
        <v>8325</v>
      </c>
      <c r="G128" s="8">
        <v>17</v>
      </c>
      <c r="H128" s="8">
        <v>26</v>
      </c>
      <c r="I128" s="8">
        <v>36</v>
      </c>
      <c r="K128" s="8">
        <v>1600</v>
      </c>
      <c r="M128" s="8">
        <v>0.1</v>
      </c>
      <c r="N128" s="8">
        <v>0.5</v>
      </c>
      <c r="O128" s="8">
        <v>1</v>
      </c>
    </row>
    <row r="129" spans="1:18" ht="48" x14ac:dyDescent="0.2">
      <c r="A129" s="9" t="s">
        <v>10</v>
      </c>
      <c r="B129" s="10" t="s">
        <v>270</v>
      </c>
      <c r="C129" s="8">
        <v>54</v>
      </c>
      <c r="D129" s="11" t="s">
        <v>34</v>
      </c>
      <c r="E129" s="12">
        <v>34</v>
      </c>
      <c r="F129" s="12">
        <v>1836</v>
      </c>
      <c r="G129" s="8">
        <v>17</v>
      </c>
      <c r="H129" s="8">
        <v>26</v>
      </c>
      <c r="I129" s="8">
        <v>36</v>
      </c>
      <c r="K129" s="8">
        <v>1600</v>
      </c>
      <c r="M129" s="8">
        <v>0.1</v>
      </c>
      <c r="N129" s="8">
        <v>0.5</v>
      </c>
      <c r="O129" s="8">
        <v>1</v>
      </c>
    </row>
    <row r="130" spans="1:18" ht="16" x14ac:dyDescent="0.2">
      <c r="A130" s="9" t="s">
        <v>11</v>
      </c>
      <c r="B130" s="10" t="s">
        <v>271</v>
      </c>
      <c r="C130" s="8">
        <v>1</v>
      </c>
      <c r="D130" s="11" t="s">
        <v>7</v>
      </c>
      <c r="E130" s="12">
        <v>100</v>
      </c>
      <c r="F130" s="12">
        <v>100</v>
      </c>
      <c r="G130" s="8">
        <v>17</v>
      </c>
      <c r="H130" s="8">
        <v>26</v>
      </c>
      <c r="I130" s="8">
        <v>36</v>
      </c>
      <c r="K130" s="8">
        <v>1600</v>
      </c>
      <c r="M130" s="8">
        <v>0.1</v>
      </c>
      <c r="N130" s="8">
        <v>0.5</v>
      </c>
      <c r="O130" s="8">
        <v>1</v>
      </c>
    </row>
    <row r="131" spans="1:18" ht="16" x14ac:dyDescent="0.2">
      <c r="A131" s="9" t="s">
        <v>12</v>
      </c>
      <c r="B131" s="10" t="s">
        <v>272</v>
      </c>
      <c r="C131" s="8">
        <v>36</v>
      </c>
      <c r="D131" s="11" t="s">
        <v>36</v>
      </c>
      <c r="E131" s="12">
        <v>7</v>
      </c>
      <c r="F131" s="12">
        <v>252</v>
      </c>
      <c r="G131" s="8">
        <v>17</v>
      </c>
      <c r="H131" s="8">
        <v>26</v>
      </c>
      <c r="I131" s="8">
        <v>36</v>
      </c>
      <c r="J131" s="8">
        <f>0.3*0.15*0.05*36</f>
        <v>8.0999999999999989E-2</v>
      </c>
      <c r="K131" s="8">
        <v>7870</v>
      </c>
      <c r="M131" s="8">
        <v>11.7</v>
      </c>
      <c r="N131" s="8">
        <v>24.62</v>
      </c>
      <c r="O131" s="8">
        <v>36.299999999999997</v>
      </c>
      <c r="P131" s="8">
        <f t="shared" ref="P131:P150" si="24">M131*K131*J131</f>
        <v>7458.3989999999985</v>
      </c>
      <c r="Q131" s="8">
        <f>N131*K131*J131</f>
        <v>15694.511399999998</v>
      </c>
      <c r="R131" s="8">
        <f t="shared" ref="R131:R150" si="25">O131*K131*J131</f>
        <v>23140.160999999996</v>
      </c>
    </row>
    <row r="132" spans="1:18" ht="96" x14ac:dyDescent="0.2">
      <c r="A132" s="9" t="s">
        <v>13</v>
      </c>
      <c r="B132" s="10" t="s">
        <v>273</v>
      </c>
      <c r="C132" s="8">
        <v>15</v>
      </c>
      <c r="D132" s="11" t="s">
        <v>34</v>
      </c>
      <c r="E132" s="12">
        <v>53</v>
      </c>
      <c r="F132" s="12">
        <v>795</v>
      </c>
      <c r="G132" s="8">
        <v>32</v>
      </c>
      <c r="H132" s="8">
        <v>60</v>
      </c>
      <c r="I132" s="8">
        <v>82</v>
      </c>
      <c r="J132" s="8">
        <f>C132*0.35*1.8*0.001</f>
        <v>9.4500000000000018E-3</v>
      </c>
      <c r="K132" s="8">
        <v>11340</v>
      </c>
      <c r="M132" s="8">
        <v>16</v>
      </c>
      <c r="N132" s="8">
        <v>25.2</v>
      </c>
      <c r="O132" s="8">
        <v>33</v>
      </c>
      <c r="P132" s="8">
        <f t="shared" si="24"/>
        <v>1714.6080000000004</v>
      </c>
      <c r="Q132" s="8">
        <f>N132*K132*J132</f>
        <v>2700.5076000000004</v>
      </c>
      <c r="R132" s="8">
        <f t="shared" si="25"/>
        <v>3536.3790000000008</v>
      </c>
    </row>
    <row r="133" spans="1:18" ht="96" x14ac:dyDescent="0.2">
      <c r="A133" s="9" t="s">
        <v>14</v>
      </c>
      <c r="B133" s="10" t="s">
        <v>274</v>
      </c>
      <c r="C133" s="8">
        <v>7</v>
      </c>
      <c r="D133" s="11" t="s">
        <v>34</v>
      </c>
      <c r="E133" s="12">
        <v>33</v>
      </c>
      <c r="F133" s="12">
        <v>231</v>
      </c>
      <c r="G133" s="8">
        <v>32</v>
      </c>
      <c r="H133" s="8">
        <v>60</v>
      </c>
      <c r="I133" s="8">
        <v>82</v>
      </c>
      <c r="J133" s="8">
        <f>C133*0.3*1.8*0.001</f>
        <v>3.7800000000000004E-3</v>
      </c>
      <c r="K133" s="8">
        <v>11340</v>
      </c>
      <c r="M133" s="8">
        <v>16</v>
      </c>
      <c r="N133" s="8">
        <v>25.2</v>
      </c>
      <c r="O133" s="8">
        <v>33</v>
      </c>
      <c r="P133" s="8">
        <f t="shared" si="24"/>
        <v>685.84320000000002</v>
      </c>
      <c r="Q133" s="8">
        <f>N133*K133*J133</f>
        <v>1080.2030400000001</v>
      </c>
      <c r="R133" s="8">
        <f t="shared" si="25"/>
        <v>1414.5516000000002</v>
      </c>
    </row>
    <row r="134" spans="1:18" ht="96" x14ac:dyDescent="0.2">
      <c r="A134" s="9" t="s">
        <v>15</v>
      </c>
      <c r="B134" s="10" t="s">
        <v>275</v>
      </c>
      <c r="C134" s="8">
        <v>42</v>
      </c>
      <c r="D134" s="11" t="s">
        <v>34</v>
      </c>
      <c r="E134" s="12">
        <v>33</v>
      </c>
      <c r="F134" s="12">
        <v>1386</v>
      </c>
      <c r="G134" s="8">
        <v>32</v>
      </c>
      <c r="H134" s="8">
        <v>60</v>
      </c>
      <c r="I134" s="8">
        <v>82</v>
      </c>
      <c r="J134" s="8">
        <f>C134*0.3*1.8*0.001</f>
        <v>2.2679999999999999E-2</v>
      </c>
      <c r="K134" s="8">
        <v>11340</v>
      </c>
      <c r="M134" s="8">
        <v>16</v>
      </c>
      <c r="N134" s="8">
        <v>25.2</v>
      </c>
      <c r="O134" s="8">
        <v>33</v>
      </c>
      <c r="P134" s="8">
        <f t="shared" si="24"/>
        <v>4115.0591999999997</v>
      </c>
      <c r="Q134" s="8">
        <f>N134*J134*K134</f>
        <v>6481.2182399999992</v>
      </c>
      <c r="R134" s="8">
        <f t="shared" si="25"/>
        <v>8487.3095999999987</v>
      </c>
    </row>
    <row r="135" spans="1:18" ht="96" x14ac:dyDescent="0.2">
      <c r="A135" s="9" t="s">
        <v>16</v>
      </c>
      <c r="B135" s="10" t="s">
        <v>276</v>
      </c>
      <c r="C135" s="8">
        <v>61</v>
      </c>
      <c r="D135" s="11" t="s">
        <v>36</v>
      </c>
      <c r="E135" s="12">
        <v>5</v>
      </c>
      <c r="F135" s="12">
        <v>305</v>
      </c>
      <c r="G135" s="8">
        <v>32</v>
      </c>
      <c r="H135" s="8">
        <v>60</v>
      </c>
      <c r="I135" s="8">
        <v>82</v>
      </c>
      <c r="J135" s="8">
        <f>1.8*0.001*0.3*0.4*61</f>
        <v>1.3176000000000002E-2</v>
      </c>
      <c r="K135" s="8">
        <v>11340</v>
      </c>
      <c r="M135" s="8">
        <v>15</v>
      </c>
      <c r="N135" s="8">
        <v>25.2</v>
      </c>
      <c r="O135" s="8">
        <v>33</v>
      </c>
      <c r="P135" s="8">
        <f t="shared" si="24"/>
        <v>2241.2376000000004</v>
      </c>
      <c r="Q135" s="8">
        <f t="shared" ref="Q135:Q150" si="26">N135*K135*J135</f>
        <v>3765.2791680000005</v>
      </c>
      <c r="R135" s="8">
        <f t="shared" si="25"/>
        <v>4930.7227200000007</v>
      </c>
    </row>
    <row r="136" spans="1:18" ht="96" x14ac:dyDescent="0.2">
      <c r="A136" s="9" t="s">
        <v>17</v>
      </c>
      <c r="B136" s="10" t="s">
        <v>277</v>
      </c>
      <c r="C136" s="8">
        <v>54</v>
      </c>
      <c r="D136" s="11" t="s">
        <v>34</v>
      </c>
      <c r="E136" s="12">
        <v>69</v>
      </c>
      <c r="F136" s="12">
        <v>3726</v>
      </c>
      <c r="G136" s="8">
        <v>32</v>
      </c>
      <c r="H136" s="8">
        <v>60</v>
      </c>
      <c r="I136" s="8">
        <v>82</v>
      </c>
      <c r="J136" s="8">
        <f>C136*0.45*2.24*0.001</f>
        <v>5.4432000000000008E-2</v>
      </c>
      <c r="K136" s="8">
        <v>11340</v>
      </c>
      <c r="M136" s="8">
        <v>15</v>
      </c>
      <c r="N136" s="8">
        <v>25.2</v>
      </c>
      <c r="O136" s="8">
        <v>33</v>
      </c>
      <c r="P136" s="8">
        <f t="shared" si="24"/>
        <v>9258.883200000002</v>
      </c>
      <c r="Q136" s="8">
        <f t="shared" si="26"/>
        <v>15554.923776000001</v>
      </c>
      <c r="R136" s="8">
        <f t="shared" si="25"/>
        <v>20369.543040000004</v>
      </c>
    </row>
    <row r="137" spans="1:18" ht="48" x14ac:dyDescent="0.2">
      <c r="A137" s="9" t="s">
        <v>6</v>
      </c>
      <c r="B137" s="10" t="s">
        <v>278</v>
      </c>
      <c r="C137" s="8">
        <v>64</v>
      </c>
      <c r="D137" s="11" t="s">
        <v>34</v>
      </c>
      <c r="E137" s="12">
        <v>69</v>
      </c>
      <c r="F137" s="12">
        <v>4416</v>
      </c>
      <c r="G137" s="8">
        <v>32</v>
      </c>
      <c r="H137" s="8">
        <v>60</v>
      </c>
      <c r="I137" s="8">
        <v>82</v>
      </c>
      <c r="J137" s="8">
        <f>C137*0.45*2.24*0.001</f>
        <v>6.4512000000000014E-2</v>
      </c>
      <c r="K137" s="8">
        <v>11340</v>
      </c>
      <c r="M137" s="8">
        <v>15</v>
      </c>
      <c r="N137" s="8">
        <v>25.2</v>
      </c>
      <c r="O137" s="8">
        <v>33</v>
      </c>
      <c r="P137" s="8">
        <f t="shared" si="24"/>
        <v>10973.491200000002</v>
      </c>
      <c r="Q137" s="8">
        <f t="shared" si="26"/>
        <v>18435.465216000004</v>
      </c>
      <c r="R137" s="8">
        <f t="shared" si="25"/>
        <v>24141.680640000006</v>
      </c>
    </row>
    <row r="138" spans="1:18" ht="112" x14ac:dyDescent="0.2">
      <c r="A138" s="9" t="s">
        <v>9</v>
      </c>
      <c r="B138" s="10" t="s">
        <v>279</v>
      </c>
      <c r="C138" s="8">
        <v>44</v>
      </c>
      <c r="D138" s="11" t="s">
        <v>35</v>
      </c>
      <c r="E138" s="12">
        <v>81</v>
      </c>
      <c r="F138" s="12">
        <v>3564</v>
      </c>
      <c r="G138" s="8">
        <v>17</v>
      </c>
      <c r="H138" s="8">
        <v>30</v>
      </c>
      <c r="I138" s="8">
        <v>43</v>
      </c>
      <c r="J138" s="8">
        <f>C138*1.2*0.001</f>
        <v>5.28E-2</v>
      </c>
      <c r="K138" s="8">
        <v>1380</v>
      </c>
      <c r="M138" s="8">
        <f>N138*0.7</f>
        <v>54.04</v>
      </c>
      <c r="N138" s="8">
        <v>77.2</v>
      </c>
      <c r="O138" s="8">
        <f>N138*1.3</f>
        <v>100.36000000000001</v>
      </c>
      <c r="P138" s="8">
        <f t="shared" si="24"/>
        <v>3937.5705599999997</v>
      </c>
      <c r="Q138" s="8">
        <f t="shared" si="26"/>
        <v>5625.1008000000002</v>
      </c>
      <c r="R138" s="8">
        <f t="shared" si="25"/>
        <v>7312.6310400000011</v>
      </c>
    </row>
    <row r="139" spans="1:18" ht="112" x14ac:dyDescent="0.2">
      <c r="A139" s="9" t="s">
        <v>10</v>
      </c>
      <c r="B139" s="10" t="s">
        <v>280</v>
      </c>
      <c r="C139" s="8">
        <v>32</v>
      </c>
      <c r="D139" s="11" t="s">
        <v>35</v>
      </c>
      <c r="E139" s="12">
        <v>81</v>
      </c>
      <c r="F139" s="12">
        <v>2592</v>
      </c>
      <c r="G139" s="8">
        <v>17</v>
      </c>
      <c r="H139" s="8">
        <v>30</v>
      </c>
      <c r="I139" s="8">
        <v>43</v>
      </c>
      <c r="J139" s="8">
        <f>C139*1.2*0.001</f>
        <v>3.8399999999999997E-2</v>
      </c>
      <c r="K139" s="8">
        <v>1380</v>
      </c>
      <c r="M139" s="8">
        <f t="shared" ref="M139" si="27">N139*0.7</f>
        <v>55.44</v>
      </c>
      <c r="N139" s="8">
        <v>79.2</v>
      </c>
      <c r="O139" s="8">
        <f t="shared" ref="O139" si="28">N139*1.3</f>
        <v>102.96000000000001</v>
      </c>
      <c r="P139" s="8">
        <f t="shared" si="24"/>
        <v>2937.8764799999994</v>
      </c>
      <c r="Q139" s="8">
        <f t="shared" si="26"/>
        <v>4196.9663999999993</v>
      </c>
      <c r="R139" s="8">
        <f t="shared" si="25"/>
        <v>5456.0563200000006</v>
      </c>
    </row>
    <row r="140" spans="1:18" ht="80" x14ac:dyDescent="0.2">
      <c r="A140" s="9" t="s">
        <v>11</v>
      </c>
      <c r="B140" s="10" t="s">
        <v>281</v>
      </c>
      <c r="C140" s="8">
        <v>42</v>
      </c>
      <c r="D140" s="11" t="s">
        <v>34</v>
      </c>
      <c r="E140" s="12">
        <v>30</v>
      </c>
      <c r="F140" s="12">
        <v>1260</v>
      </c>
      <c r="G140" s="8">
        <v>17</v>
      </c>
      <c r="H140" s="8">
        <v>30</v>
      </c>
      <c r="I140" s="8">
        <v>43</v>
      </c>
      <c r="J140" s="8">
        <f>C140*0.2*18*0.001</f>
        <v>0.15120000000000003</v>
      </c>
      <c r="K140" s="8">
        <v>1380</v>
      </c>
      <c r="M140" s="8">
        <v>55.44</v>
      </c>
      <c r="N140" s="8">
        <v>79.2</v>
      </c>
      <c r="O140" s="8">
        <v>102.96</v>
      </c>
      <c r="P140" s="8">
        <f t="shared" si="24"/>
        <v>11567.888640000001</v>
      </c>
      <c r="Q140" s="8">
        <f t="shared" si="26"/>
        <v>16525.555200000003</v>
      </c>
      <c r="R140" s="8">
        <f t="shared" si="25"/>
        <v>21483.221760000004</v>
      </c>
    </row>
    <row r="141" spans="1:18" ht="64" x14ac:dyDescent="0.2">
      <c r="A141" s="9" t="s">
        <v>12</v>
      </c>
      <c r="B141" s="10" t="s">
        <v>282</v>
      </c>
      <c r="C141" s="8">
        <v>44</v>
      </c>
      <c r="D141" s="11" t="s">
        <v>34</v>
      </c>
      <c r="E141" s="12">
        <v>30</v>
      </c>
      <c r="F141" s="12">
        <v>1320</v>
      </c>
      <c r="G141" s="8">
        <v>17</v>
      </c>
      <c r="H141" s="8">
        <v>30</v>
      </c>
      <c r="I141" s="8">
        <v>43</v>
      </c>
      <c r="J141" s="8">
        <f>C141*0.5*1.8*0.001</f>
        <v>3.9600000000000003E-2</v>
      </c>
      <c r="K141" s="8">
        <v>1380</v>
      </c>
      <c r="M141" s="8">
        <v>55.44</v>
      </c>
      <c r="N141" s="8">
        <v>79.2</v>
      </c>
      <c r="O141" s="8">
        <v>102.96</v>
      </c>
      <c r="P141" s="8">
        <f t="shared" si="24"/>
        <v>3029.6851200000001</v>
      </c>
      <c r="Q141" s="8">
        <f t="shared" si="26"/>
        <v>4328.1216000000004</v>
      </c>
      <c r="R141" s="8">
        <f t="shared" si="25"/>
        <v>5626.5580799999998</v>
      </c>
    </row>
    <row r="142" spans="1:18" ht="64" x14ac:dyDescent="0.2">
      <c r="A142" s="9" t="s">
        <v>13</v>
      </c>
      <c r="B142" s="10" t="s">
        <v>283</v>
      </c>
      <c r="C142" s="8">
        <v>9</v>
      </c>
      <c r="D142" s="11" t="s">
        <v>34</v>
      </c>
      <c r="E142" s="12">
        <v>30</v>
      </c>
      <c r="F142" s="12">
        <v>270</v>
      </c>
      <c r="G142" s="8">
        <v>17</v>
      </c>
      <c r="H142" s="8">
        <v>30</v>
      </c>
      <c r="I142" s="8">
        <v>43</v>
      </c>
      <c r="J142" s="8">
        <f>9*0.4*1.8*0.001</f>
        <v>6.4800000000000005E-3</v>
      </c>
      <c r="K142" s="8">
        <v>1380</v>
      </c>
      <c r="M142" s="8">
        <v>55.44</v>
      </c>
      <c r="N142" s="8">
        <v>79.2</v>
      </c>
      <c r="O142" s="8">
        <v>102.96</v>
      </c>
      <c r="P142" s="8">
        <f t="shared" si="24"/>
        <v>495.76665600000001</v>
      </c>
      <c r="Q142" s="8">
        <f t="shared" si="26"/>
        <v>708.23808000000008</v>
      </c>
      <c r="R142" s="8">
        <f t="shared" si="25"/>
        <v>920.70950400000004</v>
      </c>
    </row>
    <row r="143" spans="1:18" ht="48" x14ac:dyDescent="0.2">
      <c r="A143" s="9" t="s">
        <v>14</v>
      </c>
      <c r="B143" s="10" t="s">
        <v>284</v>
      </c>
      <c r="C143" s="8">
        <v>34</v>
      </c>
      <c r="D143" s="11" t="s">
        <v>35</v>
      </c>
      <c r="E143" s="12">
        <v>40</v>
      </c>
      <c r="F143" s="12">
        <v>1360</v>
      </c>
      <c r="G143" s="8">
        <v>50</v>
      </c>
      <c r="H143" s="8">
        <v>75</v>
      </c>
      <c r="I143" s="8">
        <v>100</v>
      </c>
      <c r="J143" s="8">
        <f>C143*60*0.001</f>
        <v>2.04</v>
      </c>
      <c r="K143" s="8">
        <v>1380</v>
      </c>
      <c r="M143" s="8">
        <v>55.44</v>
      </c>
      <c r="N143" s="8">
        <v>79.2</v>
      </c>
      <c r="O143" s="8">
        <v>102.96</v>
      </c>
      <c r="P143" s="8">
        <f t="shared" si="24"/>
        <v>156074.68799999999</v>
      </c>
      <c r="Q143" s="8">
        <f t="shared" si="26"/>
        <v>222963.84</v>
      </c>
      <c r="R143" s="8">
        <f t="shared" si="25"/>
        <v>289852.99199999997</v>
      </c>
    </row>
    <row r="144" spans="1:18" ht="64" x14ac:dyDescent="0.2">
      <c r="A144" s="9" t="s">
        <v>6</v>
      </c>
      <c r="B144" s="10" t="s">
        <v>285</v>
      </c>
      <c r="C144" s="8">
        <v>318</v>
      </c>
      <c r="D144" s="11" t="s">
        <v>34</v>
      </c>
      <c r="E144" s="12">
        <v>8.15</v>
      </c>
      <c r="F144" s="12">
        <v>2591.6999999999998</v>
      </c>
      <c r="G144" s="8">
        <v>5</v>
      </c>
      <c r="H144" s="8">
        <v>10</v>
      </c>
      <c r="I144" s="8">
        <v>15</v>
      </c>
      <c r="J144" s="8">
        <f>C144*0.25*22*0.001</f>
        <v>1.7490000000000001</v>
      </c>
      <c r="K144" s="8">
        <v>630</v>
      </c>
      <c r="M144" s="8">
        <v>0.72</v>
      </c>
      <c r="N144" s="8">
        <v>7.4</v>
      </c>
      <c r="O144" s="8">
        <v>13</v>
      </c>
      <c r="P144" s="8">
        <f t="shared" si="24"/>
        <v>793.34640000000002</v>
      </c>
      <c r="Q144" s="8">
        <f t="shared" si="26"/>
        <v>8153.8380000000006</v>
      </c>
      <c r="R144" s="8">
        <f t="shared" si="25"/>
        <v>14324.310000000001</v>
      </c>
    </row>
    <row r="145" spans="1:18" ht="64" x14ac:dyDescent="0.2">
      <c r="A145" s="9" t="s">
        <v>9</v>
      </c>
      <c r="B145" s="10" t="s">
        <v>286</v>
      </c>
      <c r="C145" s="8">
        <v>60</v>
      </c>
      <c r="D145" s="11" t="s">
        <v>34</v>
      </c>
      <c r="E145" s="12">
        <v>9.15</v>
      </c>
      <c r="F145" s="12">
        <v>549</v>
      </c>
      <c r="G145" s="8">
        <v>5</v>
      </c>
      <c r="H145" s="8">
        <v>10</v>
      </c>
      <c r="I145" s="8">
        <v>15</v>
      </c>
      <c r="J145" s="8">
        <f>C145*0.25*22*0.001</f>
        <v>0.33</v>
      </c>
      <c r="K145" s="8">
        <v>630</v>
      </c>
      <c r="M145" s="8">
        <v>0.72</v>
      </c>
      <c r="N145" s="8">
        <v>7.4</v>
      </c>
      <c r="O145" s="8">
        <v>13</v>
      </c>
      <c r="P145" s="8">
        <f t="shared" si="24"/>
        <v>149.68799999999999</v>
      </c>
      <c r="Q145" s="8">
        <f t="shared" si="26"/>
        <v>1538.46</v>
      </c>
      <c r="R145" s="8">
        <f t="shared" si="25"/>
        <v>2702.7000000000003</v>
      </c>
    </row>
    <row r="146" spans="1:18" ht="80" x14ac:dyDescent="0.2">
      <c r="A146" s="9" t="s">
        <v>10</v>
      </c>
      <c r="B146" s="10" t="s">
        <v>287</v>
      </c>
      <c r="C146" s="8">
        <v>378</v>
      </c>
      <c r="D146" s="11" t="s">
        <v>34</v>
      </c>
      <c r="E146" s="12">
        <v>9.15</v>
      </c>
      <c r="F146" s="12">
        <v>3458.7</v>
      </c>
      <c r="G146" s="8">
        <v>5</v>
      </c>
      <c r="H146" s="8">
        <v>10</v>
      </c>
      <c r="I146" s="8">
        <v>15</v>
      </c>
      <c r="J146" s="8">
        <f>C146*0.25*15*0.001</f>
        <v>1.4175</v>
      </c>
      <c r="K146" s="8">
        <v>630</v>
      </c>
      <c r="M146" s="8">
        <v>0.72</v>
      </c>
      <c r="N146" s="8">
        <v>7.4</v>
      </c>
      <c r="O146" s="8">
        <v>13</v>
      </c>
      <c r="P146" s="8">
        <f t="shared" si="24"/>
        <v>642.97799999999995</v>
      </c>
      <c r="Q146" s="8">
        <f t="shared" si="26"/>
        <v>6608.3850000000002</v>
      </c>
      <c r="R146" s="8">
        <f t="shared" si="25"/>
        <v>11609.325000000001</v>
      </c>
    </row>
    <row r="147" spans="1:18" ht="48" x14ac:dyDescent="0.2">
      <c r="A147" s="9" t="s">
        <v>11</v>
      </c>
      <c r="B147" s="10" t="s">
        <v>288</v>
      </c>
      <c r="C147" s="8">
        <v>40</v>
      </c>
      <c r="D147" s="11" t="s">
        <v>35</v>
      </c>
      <c r="E147" s="12">
        <v>25.64</v>
      </c>
      <c r="F147" s="12">
        <v>1025.5999999999999</v>
      </c>
      <c r="G147" s="8">
        <v>41</v>
      </c>
      <c r="H147" s="8">
        <v>68</v>
      </c>
      <c r="I147" s="8">
        <v>107</v>
      </c>
      <c r="J147" s="8">
        <f>C147*18*0.001</f>
        <v>0.72</v>
      </c>
      <c r="K147" s="8">
        <v>620</v>
      </c>
      <c r="M147" s="8">
        <v>10</v>
      </c>
      <c r="N147" s="8">
        <v>15</v>
      </c>
      <c r="O147" s="8">
        <v>20</v>
      </c>
      <c r="P147" s="8">
        <f t="shared" si="24"/>
        <v>4464</v>
      </c>
      <c r="Q147" s="8">
        <f t="shared" si="26"/>
        <v>6696</v>
      </c>
      <c r="R147" s="8">
        <f t="shared" si="25"/>
        <v>8928</v>
      </c>
    </row>
    <row r="148" spans="1:18" ht="64" x14ac:dyDescent="0.2">
      <c r="A148" s="9" t="s">
        <v>12</v>
      </c>
      <c r="B148" s="10" t="s">
        <v>289</v>
      </c>
      <c r="C148" s="8">
        <v>25</v>
      </c>
      <c r="D148" s="11" t="s">
        <v>34</v>
      </c>
      <c r="E148" s="12">
        <v>11.29</v>
      </c>
      <c r="F148" s="12">
        <v>282.25</v>
      </c>
      <c r="G148" s="8">
        <v>41</v>
      </c>
      <c r="H148" s="8">
        <v>68</v>
      </c>
      <c r="I148" s="8">
        <v>107</v>
      </c>
      <c r="J148" s="8">
        <f>C148*0.3*18*0.001</f>
        <v>0.13500000000000001</v>
      </c>
      <c r="K148" s="8">
        <v>620</v>
      </c>
      <c r="M148" s="8">
        <v>10</v>
      </c>
      <c r="N148" s="8">
        <v>15</v>
      </c>
      <c r="O148" s="8">
        <v>20</v>
      </c>
      <c r="P148" s="8">
        <f t="shared" si="24"/>
        <v>837</v>
      </c>
      <c r="Q148" s="8">
        <f t="shared" si="26"/>
        <v>1255.5</v>
      </c>
      <c r="R148" s="8">
        <f t="shared" si="25"/>
        <v>1674</v>
      </c>
    </row>
    <row r="149" spans="1:18" ht="64" x14ac:dyDescent="0.2">
      <c r="A149" s="9" t="s">
        <v>13</v>
      </c>
      <c r="B149" s="10" t="s">
        <v>290</v>
      </c>
      <c r="C149" s="8">
        <v>40</v>
      </c>
      <c r="D149" s="11" t="s">
        <v>35</v>
      </c>
      <c r="E149" s="12">
        <v>20.69</v>
      </c>
      <c r="F149" s="12">
        <v>827.6</v>
      </c>
      <c r="J149" s="8">
        <f>C149*10*0.001</f>
        <v>0.4</v>
      </c>
      <c r="K149" s="8">
        <v>1860</v>
      </c>
      <c r="M149" s="8">
        <v>1.42</v>
      </c>
      <c r="N149" s="8">
        <v>5.32</v>
      </c>
      <c r="O149" s="8">
        <v>11.73</v>
      </c>
      <c r="P149" s="8">
        <f t="shared" si="24"/>
        <v>1056.48</v>
      </c>
      <c r="Q149" s="8">
        <f t="shared" si="26"/>
        <v>3958.0800000000004</v>
      </c>
      <c r="R149" s="8">
        <f t="shared" si="25"/>
        <v>8727.1200000000008</v>
      </c>
    </row>
    <row r="150" spans="1:18" ht="64" x14ac:dyDescent="0.2">
      <c r="A150" s="9" t="s">
        <v>14</v>
      </c>
      <c r="B150" s="10" t="s">
        <v>291</v>
      </c>
      <c r="C150" s="8">
        <v>25</v>
      </c>
      <c r="D150" s="11" t="s">
        <v>34</v>
      </c>
      <c r="E150" s="12">
        <v>12.17</v>
      </c>
      <c r="F150" s="12">
        <v>304.25</v>
      </c>
      <c r="J150" s="8">
        <f>C150*0.3*10*0.001</f>
        <v>7.4999999999999997E-2</v>
      </c>
      <c r="K150" s="8">
        <v>1860</v>
      </c>
      <c r="M150" s="8">
        <v>1.42</v>
      </c>
      <c r="N150" s="8">
        <v>5.32</v>
      </c>
      <c r="O150" s="8">
        <v>11.73</v>
      </c>
      <c r="P150" s="8">
        <f t="shared" si="24"/>
        <v>198.08999999999997</v>
      </c>
      <c r="Q150" s="8">
        <f t="shared" si="26"/>
        <v>742.14</v>
      </c>
      <c r="R150" s="8">
        <f t="shared" si="25"/>
        <v>1636.3349999999998</v>
      </c>
    </row>
    <row r="151" spans="1:18" ht="64" x14ac:dyDescent="0.2">
      <c r="A151" s="9" t="s">
        <v>15</v>
      </c>
      <c r="B151" s="10" t="s">
        <v>292</v>
      </c>
      <c r="C151" s="8">
        <v>189</v>
      </c>
      <c r="D151" s="11" t="s">
        <v>35</v>
      </c>
      <c r="E151" s="12">
        <v>12.5</v>
      </c>
      <c r="F151" s="12">
        <v>2362.5</v>
      </c>
      <c r="G151" s="8">
        <v>6</v>
      </c>
      <c r="H151" s="8">
        <v>6</v>
      </c>
      <c r="I151" s="8">
        <v>6</v>
      </c>
      <c r="J151" s="1"/>
      <c r="M151" s="8">
        <v>21</v>
      </c>
      <c r="N151" s="8">
        <v>21</v>
      </c>
      <c r="O151" s="8">
        <v>21</v>
      </c>
      <c r="P151" s="8">
        <f>M151*C151</f>
        <v>3969</v>
      </c>
      <c r="Q151" s="8">
        <f>N151*C151</f>
        <v>3969</v>
      </c>
      <c r="R151" s="8">
        <f>O151*C151</f>
        <v>3969</v>
      </c>
    </row>
    <row r="152" spans="1:18" ht="64" x14ac:dyDescent="0.2">
      <c r="A152" s="9" t="s">
        <v>16</v>
      </c>
      <c r="B152" s="10" t="s">
        <v>293</v>
      </c>
      <c r="C152" s="8">
        <v>429</v>
      </c>
      <c r="D152" s="11" t="s">
        <v>35</v>
      </c>
      <c r="E152" s="12">
        <v>2.1</v>
      </c>
      <c r="F152" s="12">
        <v>900.9</v>
      </c>
      <c r="G152" s="8">
        <v>50</v>
      </c>
      <c r="H152" s="8">
        <v>75</v>
      </c>
      <c r="I152" s="8">
        <v>100</v>
      </c>
      <c r="J152" s="8">
        <f>C152*0.15</f>
        <v>64.349999999999994</v>
      </c>
      <c r="K152" s="8">
        <v>100</v>
      </c>
      <c r="M152" s="8">
        <v>16.8</v>
      </c>
      <c r="N152" s="8">
        <v>16.8</v>
      </c>
      <c r="O152" s="8">
        <v>16.8</v>
      </c>
      <c r="P152" s="8">
        <f>M152*K152*J152</f>
        <v>108107.99999999999</v>
      </c>
      <c r="Q152" s="8">
        <f>N152*K152*J152</f>
        <v>108107.99999999999</v>
      </c>
      <c r="R152" s="8">
        <f>O152*K152*J152</f>
        <v>108107.99999999999</v>
      </c>
    </row>
    <row r="153" spans="1:18" ht="64" x14ac:dyDescent="0.2">
      <c r="A153" s="9" t="s">
        <v>17</v>
      </c>
      <c r="B153" s="10" t="s">
        <v>294</v>
      </c>
      <c r="C153" s="8">
        <v>429</v>
      </c>
      <c r="D153" s="11" t="s">
        <v>35</v>
      </c>
      <c r="E153" s="12">
        <v>1.8</v>
      </c>
      <c r="F153" s="12">
        <v>772.2</v>
      </c>
      <c r="G153" s="8">
        <v>50</v>
      </c>
      <c r="H153" s="8">
        <v>75</v>
      </c>
      <c r="I153" s="8">
        <v>100</v>
      </c>
      <c r="J153" s="8">
        <f>C153*0.1</f>
        <v>42.900000000000006</v>
      </c>
      <c r="K153" s="8">
        <v>100</v>
      </c>
      <c r="M153" s="8">
        <v>16.8</v>
      </c>
      <c r="N153" s="8">
        <v>16.8</v>
      </c>
      <c r="O153" s="8">
        <v>16.8</v>
      </c>
      <c r="P153" s="8">
        <f>M153*K153*J153</f>
        <v>72072.000000000015</v>
      </c>
      <c r="Q153" s="8">
        <f>N153*K153*J153</f>
        <v>72072.000000000015</v>
      </c>
      <c r="R153" s="8">
        <f>O153*K153*J153</f>
        <v>72072.000000000015</v>
      </c>
    </row>
    <row r="154" spans="1:18" ht="64" x14ac:dyDescent="0.2">
      <c r="A154" s="9" t="s">
        <v>18</v>
      </c>
      <c r="B154" s="10" t="s">
        <v>295</v>
      </c>
      <c r="C154" s="8">
        <v>429</v>
      </c>
      <c r="D154" s="11" t="s">
        <v>35</v>
      </c>
      <c r="E154" s="12">
        <v>2.1</v>
      </c>
      <c r="F154" s="12">
        <v>900.9</v>
      </c>
      <c r="G154" s="8">
        <v>50</v>
      </c>
      <c r="H154" s="8">
        <v>75</v>
      </c>
      <c r="I154" s="8">
        <v>100</v>
      </c>
      <c r="J154" s="8">
        <f>C154*0.15</f>
        <v>64.349999999999994</v>
      </c>
      <c r="K154" s="8">
        <v>100</v>
      </c>
      <c r="M154" s="8">
        <v>16.8</v>
      </c>
      <c r="N154" s="8">
        <v>16.8</v>
      </c>
      <c r="O154" s="8">
        <v>16.8</v>
      </c>
      <c r="P154" s="8">
        <f>M154*K154*J154</f>
        <v>108107.99999999999</v>
      </c>
      <c r="Q154" s="8">
        <f>N154*K154*J154</f>
        <v>108107.99999999999</v>
      </c>
      <c r="R154" s="8">
        <f>O154*K154*J154</f>
        <v>108107.99999999999</v>
      </c>
    </row>
    <row r="155" spans="1:18" ht="64" x14ac:dyDescent="0.2">
      <c r="A155" s="9" t="s">
        <v>6</v>
      </c>
      <c r="B155" s="10" t="s">
        <v>296</v>
      </c>
      <c r="C155" s="8">
        <v>40</v>
      </c>
      <c r="D155" s="11" t="s">
        <v>35</v>
      </c>
      <c r="E155" s="12">
        <v>4</v>
      </c>
      <c r="F155" s="12">
        <v>160</v>
      </c>
      <c r="G155" s="8">
        <v>50</v>
      </c>
      <c r="H155" s="8">
        <v>75</v>
      </c>
      <c r="I155" s="8">
        <v>100</v>
      </c>
      <c r="J155" s="8">
        <f>C155*0.1</f>
        <v>4</v>
      </c>
      <c r="K155" s="8">
        <v>100</v>
      </c>
      <c r="M155" s="8">
        <v>16.8</v>
      </c>
      <c r="N155" s="8">
        <v>16.8</v>
      </c>
      <c r="O155" s="8">
        <v>16.8</v>
      </c>
      <c r="P155" s="8">
        <f>M155*K155*J155</f>
        <v>6720</v>
      </c>
      <c r="Q155" s="8">
        <f>N155*K155*J155</f>
        <v>6720</v>
      </c>
      <c r="R155" s="8">
        <f>O155*K155*J155</f>
        <v>6720</v>
      </c>
    </row>
    <row r="156" spans="1:18" ht="64" x14ac:dyDescent="0.2">
      <c r="A156" s="9" t="s">
        <v>9</v>
      </c>
      <c r="B156" s="10" t="s">
        <v>297</v>
      </c>
      <c r="C156" s="8">
        <v>287</v>
      </c>
      <c r="D156" s="11" t="s">
        <v>35</v>
      </c>
      <c r="E156" s="12">
        <v>23</v>
      </c>
      <c r="F156" s="12">
        <v>6601</v>
      </c>
      <c r="G156" s="8">
        <v>17</v>
      </c>
      <c r="H156" s="8">
        <v>22</v>
      </c>
      <c r="I156" s="8">
        <v>31</v>
      </c>
      <c r="J156" s="8">
        <f>C156*0.075</f>
        <v>21.524999999999999</v>
      </c>
      <c r="K156" s="8">
        <v>30</v>
      </c>
      <c r="M156" s="8">
        <f>45*0.7</f>
        <v>31.499999999999996</v>
      </c>
      <c r="N156" s="8">
        <v>45</v>
      </c>
      <c r="O156" s="8">
        <f>45*1.3</f>
        <v>58.5</v>
      </c>
      <c r="P156" s="8">
        <f>M156*K156*J156</f>
        <v>20341.124999999996</v>
      </c>
      <c r="Q156" s="8">
        <f>N156*K156*J156</f>
        <v>29058.749999999996</v>
      </c>
      <c r="R156" s="8">
        <f>O156*K156*J156</f>
        <v>37776.375</v>
      </c>
    </row>
    <row r="157" spans="1:18" ht="64" x14ac:dyDescent="0.2">
      <c r="A157" s="9" t="s">
        <v>10</v>
      </c>
      <c r="B157" s="10" t="s">
        <v>298</v>
      </c>
      <c r="C157" s="8">
        <v>287</v>
      </c>
      <c r="D157" s="11" t="s">
        <v>35</v>
      </c>
      <c r="E157" s="12">
        <v>25</v>
      </c>
      <c r="F157" s="12">
        <v>7175</v>
      </c>
      <c r="G157" s="8">
        <v>17</v>
      </c>
      <c r="H157" s="8">
        <v>22</v>
      </c>
      <c r="I157" s="8">
        <v>31</v>
      </c>
      <c r="J157" s="8">
        <f>C157*0.1</f>
        <v>28.700000000000003</v>
      </c>
      <c r="K157" s="8">
        <v>30</v>
      </c>
      <c r="M157" s="8">
        <f t="shared" ref="M157" si="29">45*0.7</f>
        <v>31.499999999999996</v>
      </c>
      <c r="N157" s="8">
        <v>45</v>
      </c>
      <c r="O157" s="8">
        <f t="shared" ref="O157" si="30">45*1.3</f>
        <v>58.5</v>
      </c>
      <c r="P157" s="8">
        <f t="shared" ref="P157" si="31">M157*K157*J157</f>
        <v>27121.5</v>
      </c>
      <c r="Q157" s="8">
        <f t="shared" ref="Q157" si="32">N157*K157*J157</f>
        <v>38745.000000000007</v>
      </c>
      <c r="R157" s="8">
        <f t="shared" ref="R157" si="33">O157*K157*J157</f>
        <v>50368.500000000007</v>
      </c>
    </row>
    <row r="158" spans="1:18" ht="64" x14ac:dyDescent="0.2">
      <c r="A158" s="9" t="s">
        <v>11</v>
      </c>
      <c r="B158" s="10" t="s">
        <v>299</v>
      </c>
      <c r="C158" s="8">
        <v>233</v>
      </c>
      <c r="D158" s="11" t="s">
        <v>34</v>
      </c>
      <c r="E158" s="12">
        <v>6.91</v>
      </c>
      <c r="F158" s="12">
        <v>1610.03</v>
      </c>
      <c r="G158" s="8">
        <v>18</v>
      </c>
      <c r="H158" s="8">
        <v>26</v>
      </c>
      <c r="I158" s="8">
        <v>35</v>
      </c>
      <c r="J158" s="8">
        <f>C158*3.14*(37.5*0.001)^2-C158*3.14*(32.5*0.001)^2</f>
        <v>0.25606699999999982</v>
      </c>
      <c r="K158" s="8">
        <v>1380</v>
      </c>
      <c r="M158" s="8">
        <v>69.400000000000006</v>
      </c>
      <c r="N158" s="8">
        <v>94.7</v>
      </c>
      <c r="O158" s="8">
        <v>120</v>
      </c>
      <c r="P158" s="8">
        <f>M158*K158*J158</f>
        <v>24524.048723999986</v>
      </c>
      <c r="Q158" s="8">
        <f>N158*K158*J158</f>
        <v>33464.371961999976</v>
      </c>
      <c r="R158" s="8">
        <f>O158*K158*J158</f>
        <v>42404.695199999973</v>
      </c>
    </row>
    <row r="159" spans="1:18" ht="64" x14ac:dyDescent="0.2">
      <c r="A159" s="9" t="s">
        <v>12</v>
      </c>
      <c r="B159" s="10" t="s">
        <v>300</v>
      </c>
      <c r="C159" s="8">
        <v>41</v>
      </c>
      <c r="D159" s="11" t="s">
        <v>36</v>
      </c>
      <c r="E159" s="12">
        <v>12.25</v>
      </c>
      <c r="F159" s="12">
        <v>502.25</v>
      </c>
      <c r="G159" s="8">
        <v>18</v>
      </c>
      <c r="H159" s="8">
        <v>26</v>
      </c>
      <c r="I159" s="8">
        <v>35</v>
      </c>
    </row>
    <row r="160" spans="1:18" ht="64" x14ac:dyDescent="0.2">
      <c r="A160" s="9" t="s">
        <v>13</v>
      </c>
      <c r="B160" s="10" t="s">
        <v>301</v>
      </c>
      <c r="C160" s="8">
        <v>41</v>
      </c>
      <c r="D160" s="11" t="s">
        <v>36</v>
      </c>
      <c r="E160" s="12">
        <v>9.1</v>
      </c>
      <c r="F160" s="12">
        <v>373.1</v>
      </c>
      <c r="G160" s="8">
        <v>18</v>
      </c>
      <c r="H160" s="8">
        <v>26</v>
      </c>
      <c r="I160" s="8">
        <v>35</v>
      </c>
    </row>
    <row r="161" spans="1:18" ht="48" x14ac:dyDescent="0.2">
      <c r="A161" s="9" t="s">
        <v>14</v>
      </c>
      <c r="B161" s="10" t="s">
        <v>302</v>
      </c>
      <c r="C161" s="8">
        <v>318</v>
      </c>
      <c r="D161" s="11" t="s">
        <v>34</v>
      </c>
      <c r="E161" s="12">
        <v>8.1300000000000008</v>
      </c>
      <c r="F161" s="12">
        <v>2585.34</v>
      </c>
      <c r="G161" s="8">
        <v>18</v>
      </c>
      <c r="H161" s="8">
        <v>26</v>
      </c>
      <c r="I161" s="8">
        <v>35</v>
      </c>
      <c r="J161" s="8">
        <f>C161*3.14*(50*0.001)^2-C161*3.14*(45*0.001)^2</f>
        <v>0.47429700000000041</v>
      </c>
      <c r="K161" s="8">
        <v>1380</v>
      </c>
      <c r="M161" s="8">
        <v>69.400000000000006</v>
      </c>
      <c r="N161" s="8">
        <v>94.7</v>
      </c>
      <c r="O161" s="8">
        <v>120</v>
      </c>
      <c r="P161" s="8">
        <f>M161*K161*J161</f>
        <v>45424.372284000048</v>
      </c>
      <c r="Q161" s="8">
        <f>N161*K161*J161</f>
        <v>61983.977742000054</v>
      </c>
      <c r="R161" s="8">
        <f>O161*K161*J161</f>
        <v>78543.583200000066</v>
      </c>
    </row>
    <row r="162" spans="1:18" ht="48" x14ac:dyDescent="0.2">
      <c r="A162" s="9" t="s">
        <v>15</v>
      </c>
      <c r="B162" s="10" t="s">
        <v>303</v>
      </c>
      <c r="C162" s="8">
        <v>46</v>
      </c>
      <c r="D162" s="11" t="s">
        <v>36</v>
      </c>
      <c r="E162" s="12">
        <v>5.0999999999999996</v>
      </c>
      <c r="F162" s="12">
        <v>234.6</v>
      </c>
      <c r="G162" s="8">
        <v>18</v>
      </c>
      <c r="H162" s="8">
        <v>26</v>
      </c>
      <c r="I162" s="8">
        <v>35</v>
      </c>
    </row>
    <row r="163" spans="1:18" ht="48" x14ac:dyDescent="0.2">
      <c r="A163" s="9" t="s">
        <v>16</v>
      </c>
      <c r="B163" s="10" t="s">
        <v>304</v>
      </c>
      <c r="C163" s="8">
        <v>41</v>
      </c>
      <c r="D163" s="11" t="s">
        <v>36</v>
      </c>
      <c r="E163" s="12">
        <v>7.15</v>
      </c>
      <c r="F163" s="12">
        <v>293.14999999999998</v>
      </c>
      <c r="G163" s="8">
        <v>18</v>
      </c>
      <c r="H163" s="8">
        <v>26</v>
      </c>
      <c r="I163" s="8">
        <v>35</v>
      </c>
    </row>
    <row r="164" spans="1:18" ht="48" x14ac:dyDescent="0.2">
      <c r="A164" s="9" t="s">
        <v>17</v>
      </c>
      <c r="B164" s="10" t="s">
        <v>305</v>
      </c>
      <c r="C164" s="8">
        <v>29</v>
      </c>
      <c r="D164" s="11" t="s">
        <v>36</v>
      </c>
      <c r="E164" s="12">
        <v>7.15</v>
      </c>
      <c r="F164" s="12">
        <v>207.35</v>
      </c>
      <c r="G164" s="8">
        <v>18</v>
      </c>
      <c r="H164" s="8">
        <v>26</v>
      </c>
      <c r="I164" s="8">
        <v>35</v>
      </c>
    </row>
    <row r="165" spans="1:18" ht="16" x14ac:dyDescent="0.2">
      <c r="A165" s="9" t="s">
        <v>18</v>
      </c>
      <c r="B165" s="10" t="s">
        <v>306</v>
      </c>
      <c r="C165" s="8">
        <v>1</v>
      </c>
      <c r="D165" s="11" t="s">
        <v>7</v>
      </c>
      <c r="E165" s="12">
        <v>600</v>
      </c>
      <c r="F165" s="12">
        <v>600</v>
      </c>
      <c r="G165" s="8">
        <v>1</v>
      </c>
      <c r="H165" s="8">
        <v>1</v>
      </c>
      <c r="I165" s="8">
        <v>1</v>
      </c>
    </row>
    <row r="166" spans="1:18" ht="96" x14ac:dyDescent="0.2">
      <c r="A166" s="9" t="s">
        <v>6</v>
      </c>
      <c r="B166" s="10" t="s">
        <v>307</v>
      </c>
      <c r="C166" s="8">
        <v>1</v>
      </c>
      <c r="D166" s="11" t="s">
        <v>36</v>
      </c>
      <c r="E166" s="12">
        <v>2818</v>
      </c>
      <c r="F166" s="12">
        <v>2818</v>
      </c>
      <c r="G166" s="8">
        <v>32</v>
      </c>
      <c r="H166" s="8">
        <v>62</v>
      </c>
      <c r="I166" s="8">
        <v>76</v>
      </c>
      <c r="K166" s="8">
        <v>630</v>
      </c>
      <c r="M166" s="8">
        <v>0.72</v>
      </c>
      <c r="N166" s="8">
        <v>7.4</v>
      </c>
      <c r="O166" s="8">
        <v>13</v>
      </c>
    </row>
    <row r="167" spans="1:18" ht="80" x14ac:dyDescent="0.2">
      <c r="A167" s="9" t="s">
        <v>9</v>
      </c>
      <c r="B167" s="10" t="s">
        <v>308</v>
      </c>
      <c r="C167" s="8">
        <v>1</v>
      </c>
      <c r="D167" s="11" t="s">
        <v>36</v>
      </c>
      <c r="E167" s="12">
        <v>2660</v>
      </c>
      <c r="F167" s="12">
        <v>2660</v>
      </c>
      <c r="G167" s="8">
        <v>32</v>
      </c>
      <c r="H167" s="8">
        <v>62</v>
      </c>
      <c r="I167" s="8">
        <v>76</v>
      </c>
      <c r="K167" s="8">
        <v>630</v>
      </c>
      <c r="M167" s="8">
        <v>0.72</v>
      </c>
      <c r="N167" s="8">
        <v>7.4</v>
      </c>
      <c r="O167" s="8">
        <v>13</v>
      </c>
    </row>
    <row r="168" spans="1:18" ht="80" x14ac:dyDescent="0.2">
      <c r="A168" s="9" t="s">
        <v>10</v>
      </c>
      <c r="B168" s="10" t="s">
        <v>309</v>
      </c>
      <c r="C168" s="8">
        <v>1</v>
      </c>
      <c r="D168" s="11" t="s">
        <v>36</v>
      </c>
      <c r="E168" s="12">
        <v>2709</v>
      </c>
      <c r="F168" s="12">
        <v>2709</v>
      </c>
      <c r="G168" s="8">
        <v>32</v>
      </c>
      <c r="H168" s="8">
        <v>62</v>
      </c>
      <c r="I168" s="8">
        <v>76</v>
      </c>
      <c r="K168" s="8">
        <v>630</v>
      </c>
      <c r="M168" s="8">
        <v>0.72</v>
      </c>
      <c r="N168" s="8">
        <v>7.4</v>
      </c>
      <c r="O168" s="8">
        <v>13</v>
      </c>
    </row>
    <row r="169" spans="1:18" ht="80" x14ac:dyDescent="0.2">
      <c r="A169" s="9" t="s">
        <v>11</v>
      </c>
      <c r="B169" s="10" t="s">
        <v>310</v>
      </c>
      <c r="C169" s="8">
        <v>1</v>
      </c>
      <c r="D169" s="11" t="s">
        <v>36</v>
      </c>
      <c r="E169" s="12">
        <v>2709</v>
      </c>
      <c r="F169" s="12">
        <v>2709</v>
      </c>
      <c r="G169" s="8">
        <v>32</v>
      </c>
      <c r="H169" s="8">
        <v>62</v>
      </c>
      <c r="I169" s="8">
        <v>76</v>
      </c>
      <c r="K169" s="8">
        <v>630</v>
      </c>
      <c r="M169" s="8">
        <v>0.72</v>
      </c>
      <c r="N169" s="8">
        <v>7.4</v>
      </c>
      <c r="O169" s="8">
        <v>13</v>
      </c>
    </row>
    <row r="170" spans="1:18" ht="80" x14ac:dyDescent="0.2">
      <c r="A170" s="9" t="s">
        <v>12</v>
      </c>
      <c r="B170" s="10" t="s">
        <v>311</v>
      </c>
      <c r="C170" s="8">
        <v>1</v>
      </c>
      <c r="D170" s="11" t="s">
        <v>36</v>
      </c>
      <c r="E170" s="12">
        <v>3676</v>
      </c>
      <c r="F170" s="12">
        <v>3676</v>
      </c>
      <c r="G170" s="8">
        <v>32</v>
      </c>
      <c r="H170" s="8">
        <v>62</v>
      </c>
      <c r="I170" s="8">
        <v>76</v>
      </c>
      <c r="K170" s="8">
        <v>630</v>
      </c>
      <c r="M170" s="8">
        <v>0.72</v>
      </c>
      <c r="N170" s="8">
        <v>7.4</v>
      </c>
      <c r="O170" s="8">
        <v>13</v>
      </c>
    </row>
    <row r="171" spans="1:18" ht="112" x14ac:dyDescent="0.2">
      <c r="A171" s="9" t="s">
        <v>13</v>
      </c>
      <c r="B171" s="10" t="s">
        <v>312</v>
      </c>
      <c r="C171" s="8">
        <v>1</v>
      </c>
      <c r="D171" s="11" t="s">
        <v>36</v>
      </c>
      <c r="E171" s="12">
        <v>5340</v>
      </c>
      <c r="F171" s="12">
        <v>5340</v>
      </c>
      <c r="G171" s="8">
        <v>42</v>
      </c>
      <c r="H171" s="8">
        <v>73</v>
      </c>
      <c r="I171" s="8">
        <v>95</v>
      </c>
      <c r="J171" s="8" t="s">
        <v>99</v>
      </c>
      <c r="M171" s="8">
        <v>0.99</v>
      </c>
      <c r="N171" s="8">
        <v>1.1000000000000001</v>
      </c>
      <c r="O171" s="8">
        <v>1.17</v>
      </c>
    </row>
    <row r="172" spans="1:18" ht="112" x14ac:dyDescent="0.2">
      <c r="A172" s="9" t="s">
        <v>6</v>
      </c>
      <c r="B172" s="10" t="s">
        <v>313</v>
      </c>
      <c r="C172" s="8">
        <v>1</v>
      </c>
      <c r="D172" s="11" t="s">
        <v>36</v>
      </c>
      <c r="E172" s="14" t="s">
        <v>37</v>
      </c>
      <c r="F172" s="14" t="s">
        <v>37</v>
      </c>
    </row>
    <row r="173" spans="1:18" ht="48" x14ac:dyDescent="0.2">
      <c r="A173" s="9" t="s">
        <v>9</v>
      </c>
      <c r="B173" s="10" t="s">
        <v>314</v>
      </c>
      <c r="C173" s="8">
        <v>10</v>
      </c>
      <c r="D173" s="11" t="s">
        <v>34</v>
      </c>
      <c r="E173" s="12">
        <v>436.55</v>
      </c>
      <c r="F173" s="12">
        <v>4365.5</v>
      </c>
      <c r="G173" s="8">
        <v>15</v>
      </c>
      <c r="H173" s="8">
        <v>20</v>
      </c>
      <c r="I173" s="8">
        <v>25</v>
      </c>
    </row>
    <row r="174" spans="1:18" ht="48" x14ac:dyDescent="0.2">
      <c r="A174" s="9" t="s">
        <v>10</v>
      </c>
      <c r="B174" s="10" t="s">
        <v>315</v>
      </c>
      <c r="C174" s="8">
        <v>4</v>
      </c>
      <c r="D174" s="11" t="s">
        <v>34</v>
      </c>
      <c r="E174" s="12">
        <v>476.47</v>
      </c>
      <c r="F174" s="12">
        <v>1905.88</v>
      </c>
      <c r="G174" s="8">
        <v>15</v>
      </c>
      <c r="H174" s="8">
        <v>20</v>
      </c>
      <c r="I174" s="8">
        <v>25</v>
      </c>
    </row>
    <row r="175" spans="1:18" ht="48" x14ac:dyDescent="0.2">
      <c r="A175" s="9" t="s">
        <v>11</v>
      </c>
      <c r="B175" s="10" t="s">
        <v>316</v>
      </c>
      <c r="C175" s="8">
        <v>4</v>
      </c>
      <c r="D175" s="11" t="s">
        <v>36</v>
      </c>
      <c r="E175" s="12">
        <v>40.22</v>
      </c>
      <c r="F175" s="12">
        <v>160.88</v>
      </c>
      <c r="G175" s="8">
        <v>15</v>
      </c>
      <c r="H175" s="8">
        <v>20</v>
      </c>
      <c r="I175" s="8">
        <v>25</v>
      </c>
    </row>
    <row r="176" spans="1:18" ht="64" x14ac:dyDescent="0.2">
      <c r="A176" s="9" t="s">
        <v>12</v>
      </c>
      <c r="B176" s="10" t="s">
        <v>317</v>
      </c>
      <c r="C176" s="8">
        <v>2</v>
      </c>
      <c r="D176" s="11" t="s">
        <v>36</v>
      </c>
      <c r="E176" s="12">
        <v>40.22</v>
      </c>
      <c r="F176" s="12">
        <v>80.44</v>
      </c>
      <c r="G176" s="8">
        <v>15</v>
      </c>
      <c r="H176" s="8">
        <v>20</v>
      </c>
      <c r="I176" s="8">
        <v>25</v>
      </c>
    </row>
    <row r="177" spans="1:18" ht="48" x14ac:dyDescent="0.2">
      <c r="A177" s="9" t="s">
        <v>13</v>
      </c>
      <c r="B177" s="10" t="s">
        <v>318</v>
      </c>
      <c r="C177" s="8">
        <v>6</v>
      </c>
      <c r="D177" s="11" t="s">
        <v>36</v>
      </c>
      <c r="E177" s="12">
        <v>40.22</v>
      </c>
      <c r="F177" s="12">
        <v>241.32</v>
      </c>
      <c r="G177" s="8">
        <v>15</v>
      </c>
      <c r="H177" s="8">
        <v>20</v>
      </c>
      <c r="I177" s="8">
        <v>25</v>
      </c>
    </row>
    <row r="178" spans="1:18" ht="48" x14ac:dyDescent="0.2">
      <c r="A178" s="9" t="s">
        <v>14</v>
      </c>
      <c r="B178" s="10" t="s">
        <v>319</v>
      </c>
      <c r="C178" s="8">
        <v>14</v>
      </c>
      <c r="D178" s="11" t="s">
        <v>36</v>
      </c>
      <c r="E178" s="12">
        <v>80.44</v>
      </c>
      <c r="F178" s="12">
        <v>1126.1600000000001</v>
      </c>
      <c r="G178" s="8">
        <v>15</v>
      </c>
      <c r="H178" s="8">
        <v>20</v>
      </c>
      <c r="I178" s="8">
        <v>25</v>
      </c>
    </row>
    <row r="179" spans="1:18" ht="32" x14ac:dyDescent="0.2">
      <c r="A179" s="9" t="s">
        <v>15</v>
      </c>
      <c r="B179" s="10" t="s">
        <v>320</v>
      </c>
      <c r="C179" s="8">
        <v>8</v>
      </c>
      <c r="D179" s="11" t="s">
        <v>34</v>
      </c>
      <c r="E179" s="12">
        <v>173.32</v>
      </c>
      <c r="F179" s="12">
        <v>1386.56</v>
      </c>
      <c r="G179" s="8">
        <v>15</v>
      </c>
      <c r="H179" s="8">
        <v>20</v>
      </c>
      <c r="I179" s="8">
        <v>25</v>
      </c>
    </row>
    <row r="180" spans="1:18" ht="32" x14ac:dyDescent="0.2">
      <c r="A180" s="9" t="s">
        <v>16</v>
      </c>
      <c r="B180" s="10" t="s">
        <v>321</v>
      </c>
      <c r="C180" s="8">
        <v>8</v>
      </c>
      <c r="D180" s="11" t="s">
        <v>34</v>
      </c>
      <c r="E180" s="12">
        <v>173.32</v>
      </c>
      <c r="F180" s="12">
        <v>1386.56</v>
      </c>
      <c r="G180" s="8">
        <v>15</v>
      </c>
      <c r="H180" s="8">
        <v>20</v>
      </c>
      <c r="I180" s="8">
        <v>25</v>
      </c>
    </row>
    <row r="181" spans="1:18" ht="32" x14ac:dyDescent="0.2">
      <c r="A181" s="9" t="s">
        <v>17</v>
      </c>
      <c r="B181" s="10" t="s">
        <v>322</v>
      </c>
      <c r="C181" s="8">
        <v>2</v>
      </c>
      <c r="D181" s="11" t="s">
        <v>36</v>
      </c>
      <c r="E181" s="12">
        <v>40.22</v>
      </c>
      <c r="F181" s="12">
        <v>80.44</v>
      </c>
      <c r="G181" s="8">
        <v>15</v>
      </c>
      <c r="H181" s="8">
        <v>20</v>
      </c>
      <c r="I181" s="8">
        <v>25</v>
      </c>
    </row>
    <row r="182" spans="1:18" ht="32" x14ac:dyDescent="0.2">
      <c r="A182" s="9" t="s">
        <v>18</v>
      </c>
      <c r="B182" s="10" t="s">
        <v>323</v>
      </c>
      <c r="C182" s="8">
        <v>8</v>
      </c>
      <c r="D182" s="11" t="s">
        <v>36</v>
      </c>
      <c r="E182" s="12">
        <v>40.22</v>
      </c>
      <c r="F182" s="12">
        <v>321.76</v>
      </c>
      <c r="G182" s="8">
        <v>15</v>
      </c>
      <c r="H182" s="8">
        <v>20</v>
      </c>
      <c r="I182" s="8">
        <v>25</v>
      </c>
    </row>
    <row r="183" spans="1:18" ht="32" x14ac:dyDescent="0.2">
      <c r="A183" s="9" t="s">
        <v>19</v>
      </c>
      <c r="B183" s="10" t="s">
        <v>324</v>
      </c>
      <c r="C183" s="8">
        <v>10</v>
      </c>
      <c r="D183" s="11" t="s">
        <v>36</v>
      </c>
      <c r="E183" s="12">
        <v>80.44</v>
      </c>
      <c r="F183" s="12">
        <v>804.4</v>
      </c>
      <c r="G183" s="8">
        <v>15</v>
      </c>
      <c r="H183" s="8">
        <v>20</v>
      </c>
      <c r="I183" s="8">
        <v>25</v>
      </c>
    </row>
    <row r="184" spans="1:18" ht="64" x14ac:dyDescent="0.2">
      <c r="A184" s="9" t="s">
        <v>20</v>
      </c>
      <c r="B184" s="10" t="s">
        <v>325</v>
      </c>
      <c r="C184" s="8">
        <v>5</v>
      </c>
      <c r="D184" s="11" t="s">
        <v>35</v>
      </c>
      <c r="E184" s="12">
        <v>15</v>
      </c>
      <c r="F184" s="12">
        <v>75</v>
      </c>
      <c r="G184" s="8">
        <v>6</v>
      </c>
      <c r="H184" s="8">
        <v>6</v>
      </c>
      <c r="I184" s="8">
        <v>6</v>
      </c>
      <c r="M184" s="8">
        <v>21</v>
      </c>
      <c r="N184" s="8">
        <v>21</v>
      </c>
      <c r="O184" s="8">
        <v>21</v>
      </c>
      <c r="P184" s="8">
        <f>M184*C184</f>
        <v>105</v>
      </c>
      <c r="Q184" s="8">
        <v>105</v>
      </c>
      <c r="R184" s="8">
        <v>105</v>
      </c>
    </row>
    <row r="185" spans="1:18" ht="64" x14ac:dyDescent="0.2">
      <c r="A185" s="9" t="s">
        <v>21</v>
      </c>
      <c r="B185" s="10" t="s">
        <v>326</v>
      </c>
      <c r="C185" s="8">
        <v>9</v>
      </c>
      <c r="D185" s="11" t="s">
        <v>35</v>
      </c>
      <c r="E185" s="12">
        <v>15</v>
      </c>
      <c r="F185" s="12">
        <v>135</v>
      </c>
      <c r="M185" s="8">
        <v>21</v>
      </c>
      <c r="N185" s="8">
        <v>21</v>
      </c>
      <c r="O185" s="8">
        <v>21</v>
      </c>
      <c r="P185" s="8">
        <f>M185*C185</f>
        <v>189</v>
      </c>
      <c r="Q185" s="8">
        <v>189</v>
      </c>
      <c r="R185" s="8">
        <v>189</v>
      </c>
    </row>
    <row r="186" spans="1:18" ht="48" x14ac:dyDescent="0.2">
      <c r="A186" s="9" t="s">
        <v>6</v>
      </c>
      <c r="B186" s="10" t="s">
        <v>327</v>
      </c>
      <c r="C186" s="8">
        <v>27</v>
      </c>
      <c r="D186" s="11" t="s">
        <v>34</v>
      </c>
      <c r="E186" s="12">
        <v>4</v>
      </c>
      <c r="F186" s="12">
        <v>108</v>
      </c>
    </row>
    <row r="187" spans="1:18" ht="48" x14ac:dyDescent="0.2">
      <c r="A187" s="9" t="s">
        <v>9</v>
      </c>
      <c r="B187" s="10" t="s">
        <v>328</v>
      </c>
      <c r="C187" s="8">
        <v>66</v>
      </c>
      <c r="D187" s="11" t="s">
        <v>35</v>
      </c>
      <c r="E187" s="12">
        <v>15</v>
      </c>
      <c r="F187" s="12">
        <v>990</v>
      </c>
      <c r="M187" s="8">
        <v>21</v>
      </c>
      <c r="N187" s="8">
        <v>21</v>
      </c>
      <c r="O187" s="8">
        <v>21</v>
      </c>
      <c r="P187" s="8">
        <f>M187*C187</f>
        <v>1386</v>
      </c>
      <c r="Q187" s="8">
        <v>1386</v>
      </c>
      <c r="R187" s="8">
        <v>1386</v>
      </c>
    </row>
    <row r="188" spans="1:18" ht="64" x14ac:dyDescent="0.2">
      <c r="A188" s="9" t="s">
        <v>10</v>
      </c>
      <c r="B188" s="10" t="s">
        <v>329</v>
      </c>
      <c r="C188" s="8">
        <v>12</v>
      </c>
      <c r="D188" s="11" t="s">
        <v>34</v>
      </c>
      <c r="E188" s="12">
        <v>20.170000000000002</v>
      </c>
      <c r="F188" s="12">
        <v>242.04</v>
      </c>
      <c r="G188" s="8">
        <v>21</v>
      </c>
      <c r="H188" s="8">
        <v>36</v>
      </c>
      <c r="I188" s="8">
        <v>48</v>
      </c>
      <c r="J188" s="8">
        <f>C188*0.35*0.019</f>
        <v>7.9799999999999982E-2</v>
      </c>
      <c r="K188" s="8">
        <v>510</v>
      </c>
      <c r="L188" s="8" t="s">
        <v>137</v>
      </c>
      <c r="M188" s="8">
        <v>11</v>
      </c>
      <c r="N188" s="8">
        <v>11</v>
      </c>
      <c r="O188" s="8">
        <v>11</v>
      </c>
      <c r="P188" s="8">
        <f>M188*K188*J188</f>
        <v>447.67799999999988</v>
      </c>
      <c r="Q188" s="8">
        <f>N188*K188*J188</f>
        <v>447.67799999999988</v>
      </c>
      <c r="R188" s="8">
        <f>O188*K188*J188</f>
        <v>447.67799999999988</v>
      </c>
    </row>
    <row r="189" spans="1:18" ht="48" x14ac:dyDescent="0.2">
      <c r="A189" s="9" t="s">
        <v>6</v>
      </c>
      <c r="B189" s="10" t="s">
        <v>330</v>
      </c>
      <c r="C189" s="8">
        <v>2228</v>
      </c>
      <c r="D189" s="11" t="s">
        <v>35</v>
      </c>
      <c r="E189" s="12">
        <v>22.8</v>
      </c>
      <c r="F189" s="12">
        <v>50798.400000000001</v>
      </c>
      <c r="G189" s="8">
        <v>52</v>
      </c>
      <c r="H189" s="8">
        <v>72</v>
      </c>
      <c r="I189" s="8">
        <v>101</v>
      </c>
      <c r="J189" s="8">
        <f>C189*0.1</f>
        <v>222.8</v>
      </c>
      <c r="K189" s="8">
        <v>2200</v>
      </c>
      <c r="M189" s="13">
        <v>0.52500000000000002</v>
      </c>
      <c r="N189" s="13">
        <v>0.75</v>
      </c>
      <c r="O189" s="13">
        <v>0.97499999999999998</v>
      </c>
      <c r="P189" s="8">
        <f>J189*K189*M189</f>
        <v>257334</v>
      </c>
      <c r="Q189" s="8">
        <f t="shared" ref="Q189:R195" si="34">P189</f>
        <v>257334</v>
      </c>
      <c r="R189" s="8">
        <f t="shared" si="34"/>
        <v>257334</v>
      </c>
    </row>
    <row r="190" spans="1:18" ht="48" x14ac:dyDescent="0.2">
      <c r="A190" s="9" t="s">
        <v>9</v>
      </c>
      <c r="B190" s="10" t="s">
        <v>331</v>
      </c>
      <c r="C190" s="8">
        <v>94</v>
      </c>
      <c r="D190" s="11" t="s">
        <v>35</v>
      </c>
      <c r="E190" s="12">
        <v>24.3</v>
      </c>
      <c r="F190" s="12">
        <v>2284.1999999999998</v>
      </c>
      <c r="G190" s="8">
        <v>52</v>
      </c>
      <c r="H190" s="8">
        <v>72</v>
      </c>
      <c r="I190" s="8">
        <v>101</v>
      </c>
      <c r="J190" s="8">
        <f>C190*0.1</f>
        <v>9.4</v>
      </c>
      <c r="K190" s="8">
        <v>2200</v>
      </c>
      <c r="M190" s="13">
        <v>0.52500000000000002</v>
      </c>
      <c r="N190" s="13">
        <v>0.75</v>
      </c>
      <c r="O190" s="13">
        <v>0.97499999999999998</v>
      </c>
      <c r="P190" s="8">
        <f t="shared" ref="P190:P195" si="35">M190*K190*J190</f>
        <v>10857</v>
      </c>
      <c r="Q190" s="8">
        <f t="shared" si="34"/>
        <v>10857</v>
      </c>
      <c r="R190" s="8">
        <f t="shared" si="34"/>
        <v>10857</v>
      </c>
    </row>
    <row r="191" spans="1:18" ht="48" x14ac:dyDescent="0.2">
      <c r="A191" s="9" t="s">
        <v>10</v>
      </c>
      <c r="B191" s="10" t="s">
        <v>332</v>
      </c>
      <c r="C191" s="8">
        <v>40</v>
      </c>
      <c r="D191" s="11" t="s">
        <v>35</v>
      </c>
      <c r="E191" s="12">
        <v>26.3</v>
      </c>
      <c r="F191" s="12">
        <v>1052</v>
      </c>
      <c r="G191" s="8">
        <v>52</v>
      </c>
      <c r="H191" s="8">
        <v>72</v>
      </c>
      <c r="I191" s="8">
        <v>101</v>
      </c>
      <c r="J191" s="8">
        <f>C191*0.1</f>
        <v>4</v>
      </c>
      <c r="K191" s="8">
        <v>2200</v>
      </c>
      <c r="M191" s="13">
        <v>0.52500000000000002</v>
      </c>
      <c r="N191" s="13">
        <v>0.75</v>
      </c>
      <c r="O191" s="13">
        <v>0.97499999999999998</v>
      </c>
      <c r="P191" s="8">
        <f t="shared" si="35"/>
        <v>4620</v>
      </c>
      <c r="Q191" s="8">
        <f t="shared" si="34"/>
        <v>4620</v>
      </c>
      <c r="R191" s="8">
        <f t="shared" si="34"/>
        <v>4620</v>
      </c>
    </row>
    <row r="192" spans="1:18" ht="96" x14ac:dyDescent="0.2">
      <c r="A192" s="9" t="s">
        <v>11</v>
      </c>
      <c r="B192" s="10" t="s">
        <v>333</v>
      </c>
      <c r="C192" s="8">
        <v>6</v>
      </c>
      <c r="D192" s="11" t="s">
        <v>35</v>
      </c>
      <c r="E192" s="12">
        <v>56.11</v>
      </c>
      <c r="F192" s="12">
        <v>336.66</v>
      </c>
      <c r="G192" s="8">
        <v>52</v>
      </c>
      <c r="H192" s="8">
        <v>72</v>
      </c>
      <c r="I192" s="8">
        <v>101</v>
      </c>
      <c r="J192" s="8">
        <f>C192*0.2</f>
        <v>1.2000000000000002</v>
      </c>
      <c r="K192" s="8">
        <v>2200</v>
      </c>
      <c r="M192" s="13">
        <v>0.52500000000000002</v>
      </c>
      <c r="N192" s="13">
        <v>0.75</v>
      </c>
      <c r="O192" s="13">
        <v>0.97499999999999998</v>
      </c>
      <c r="P192" s="8">
        <f t="shared" si="35"/>
        <v>1386.0000000000002</v>
      </c>
      <c r="Q192" s="8">
        <f t="shared" si="34"/>
        <v>1386.0000000000002</v>
      </c>
      <c r="R192" s="8">
        <f t="shared" si="34"/>
        <v>1386.0000000000002</v>
      </c>
    </row>
    <row r="193" spans="1:18" ht="64" x14ac:dyDescent="0.2">
      <c r="A193" s="9" t="s">
        <v>12</v>
      </c>
      <c r="B193" s="10" t="s">
        <v>334</v>
      </c>
      <c r="C193" s="8">
        <v>5</v>
      </c>
      <c r="D193" s="11" t="s">
        <v>35</v>
      </c>
      <c r="E193" s="12">
        <v>50.11</v>
      </c>
      <c r="F193" s="12">
        <v>250.55</v>
      </c>
      <c r="G193" s="8">
        <v>52</v>
      </c>
      <c r="H193" s="8">
        <v>72</v>
      </c>
      <c r="I193" s="8">
        <v>101</v>
      </c>
      <c r="J193" s="8">
        <f>C193*0.215</f>
        <v>1.075</v>
      </c>
      <c r="K193" s="8">
        <v>2200</v>
      </c>
      <c r="M193" s="13">
        <v>0.52500000000000002</v>
      </c>
      <c r="N193" s="13">
        <v>0.75</v>
      </c>
      <c r="O193" s="13">
        <v>0.97499999999999998</v>
      </c>
      <c r="P193" s="8">
        <f t="shared" si="35"/>
        <v>1241.625</v>
      </c>
      <c r="Q193" s="8">
        <f t="shared" si="34"/>
        <v>1241.625</v>
      </c>
      <c r="R193" s="8">
        <f t="shared" si="34"/>
        <v>1241.625</v>
      </c>
    </row>
    <row r="194" spans="1:18" ht="64" x14ac:dyDescent="0.2">
      <c r="A194" s="9" t="s">
        <v>13</v>
      </c>
      <c r="B194" s="10" t="s">
        <v>335</v>
      </c>
      <c r="C194" s="8">
        <v>4</v>
      </c>
      <c r="D194" s="11" t="s">
        <v>35</v>
      </c>
      <c r="E194" s="12">
        <v>51.11</v>
      </c>
      <c r="F194" s="12">
        <v>204.44</v>
      </c>
      <c r="G194" s="8">
        <v>52</v>
      </c>
      <c r="H194" s="8">
        <v>72</v>
      </c>
      <c r="I194" s="8">
        <v>101</v>
      </c>
      <c r="J194" s="8">
        <f>C194*0.215</f>
        <v>0.86</v>
      </c>
      <c r="K194" s="8">
        <v>2200</v>
      </c>
      <c r="M194" s="13">
        <v>0.52500000000000002</v>
      </c>
      <c r="N194" s="13">
        <v>0.75</v>
      </c>
      <c r="O194" s="13">
        <v>0.97499999999999998</v>
      </c>
      <c r="P194" s="8">
        <f t="shared" si="35"/>
        <v>993.3</v>
      </c>
      <c r="Q194" s="8">
        <f t="shared" si="34"/>
        <v>993.3</v>
      </c>
      <c r="R194" s="8">
        <f t="shared" si="34"/>
        <v>993.3</v>
      </c>
    </row>
    <row r="195" spans="1:18" ht="64" x14ac:dyDescent="0.2">
      <c r="A195" s="9" t="s">
        <v>14</v>
      </c>
      <c r="B195" s="10" t="s">
        <v>336</v>
      </c>
      <c r="C195" s="8">
        <v>2</v>
      </c>
      <c r="D195" s="11" t="s">
        <v>35</v>
      </c>
      <c r="E195" s="12">
        <v>77.91</v>
      </c>
      <c r="F195" s="12">
        <v>155.82</v>
      </c>
      <c r="G195" s="8">
        <v>52</v>
      </c>
      <c r="H195" s="8">
        <v>72</v>
      </c>
      <c r="I195" s="8">
        <v>101</v>
      </c>
      <c r="J195" s="8">
        <f>C195*0.335</f>
        <v>0.67</v>
      </c>
      <c r="K195" s="8">
        <v>2200</v>
      </c>
      <c r="M195" s="13">
        <v>0.52500000000000002</v>
      </c>
      <c r="N195" s="13">
        <v>0.75</v>
      </c>
      <c r="O195" s="13">
        <v>0.97499999999999998</v>
      </c>
      <c r="P195" s="8">
        <f t="shared" si="35"/>
        <v>773.85</v>
      </c>
      <c r="Q195" s="8">
        <f t="shared" si="34"/>
        <v>773.85</v>
      </c>
      <c r="R195" s="8">
        <f t="shared" si="34"/>
        <v>773.85</v>
      </c>
    </row>
    <row r="196" spans="1:18" ht="64" x14ac:dyDescent="0.2">
      <c r="A196" s="9" t="s">
        <v>15</v>
      </c>
      <c r="B196" s="10" t="s">
        <v>337</v>
      </c>
      <c r="C196" s="8">
        <v>1</v>
      </c>
      <c r="D196" s="11" t="s">
        <v>35</v>
      </c>
      <c r="E196" s="12">
        <v>104.21</v>
      </c>
      <c r="F196" s="12">
        <v>104.21</v>
      </c>
      <c r="G196" s="8">
        <v>52</v>
      </c>
      <c r="H196" s="8">
        <v>72</v>
      </c>
      <c r="I196" s="8">
        <v>101</v>
      </c>
    </row>
    <row r="197" spans="1:18" ht="48" x14ac:dyDescent="0.2">
      <c r="A197" s="9" t="s">
        <v>16</v>
      </c>
      <c r="B197" s="10" t="s">
        <v>338</v>
      </c>
      <c r="C197" s="8">
        <v>501</v>
      </c>
      <c r="D197" s="11" t="s">
        <v>34</v>
      </c>
      <c r="E197" s="12">
        <v>5</v>
      </c>
      <c r="F197" s="12">
        <v>2505</v>
      </c>
      <c r="G197" s="8">
        <v>52</v>
      </c>
      <c r="H197" s="8">
        <v>72</v>
      </c>
      <c r="I197" s="8">
        <v>101</v>
      </c>
      <c r="K197" s="8">
        <v>2200</v>
      </c>
      <c r="M197" s="13">
        <v>0.52500000000000002</v>
      </c>
      <c r="N197" s="13">
        <v>0.75</v>
      </c>
      <c r="O197" s="13">
        <v>0.97499999999999998</v>
      </c>
    </row>
    <row r="198" spans="1:18" ht="48" x14ac:dyDescent="0.2">
      <c r="A198" s="9" t="s">
        <v>17</v>
      </c>
      <c r="B198" s="10" t="s">
        <v>339</v>
      </c>
      <c r="C198" s="8">
        <v>21</v>
      </c>
      <c r="D198" s="11" t="s">
        <v>34</v>
      </c>
      <c r="E198" s="12">
        <v>10</v>
      </c>
      <c r="F198" s="12">
        <v>210</v>
      </c>
      <c r="G198" s="8">
        <v>52</v>
      </c>
      <c r="H198" s="8">
        <v>72</v>
      </c>
      <c r="I198" s="8">
        <v>101</v>
      </c>
    </row>
    <row r="199" spans="1:18" ht="64" x14ac:dyDescent="0.2">
      <c r="A199" s="9" t="s">
        <v>18</v>
      </c>
      <c r="B199" s="10" t="s">
        <v>340</v>
      </c>
      <c r="C199" s="8">
        <v>59</v>
      </c>
      <c r="D199" s="11" t="s">
        <v>35</v>
      </c>
      <c r="E199" s="12">
        <v>70.819999999999993</v>
      </c>
      <c r="F199" s="12">
        <v>4178.38</v>
      </c>
      <c r="G199" s="8">
        <v>70</v>
      </c>
      <c r="H199" s="8">
        <v>93</v>
      </c>
      <c r="I199" s="8">
        <v>131</v>
      </c>
      <c r="J199" s="8">
        <f>C199*0.1025</f>
        <v>6.0474999999999994</v>
      </c>
      <c r="K199" s="8">
        <v>2000</v>
      </c>
      <c r="M199" s="8">
        <v>0.63</v>
      </c>
      <c r="N199" s="8">
        <v>3</v>
      </c>
      <c r="O199" s="8">
        <v>6</v>
      </c>
      <c r="P199" s="8">
        <f t="shared" ref="P199:P205" si="36">M199*K199*J199</f>
        <v>7619.8499999999995</v>
      </c>
      <c r="Q199" s="8">
        <f>N199*K199*J199</f>
        <v>36285</v>
      </c>
      <c r="R199" s="8">
        <f>O199*K199*J199</f>
        <v>72570</v>
      </c>
    </row>
    <row r="200" spans="1:18" ht="80" x14ac:dyDescent="0.2">
      <c r="A200" s="9" t="s">
        <v>19</v>
      </c>
      <c r="B200" s="10" t="s">
        <v>341</v>
      </c>
      <c r="C200" s="8">
        <v>22</v>
      </c>
      <c r="D200" s="11" t="s">
        <v>35</v>
      </c>
      <c r="E200" s="12">
        <v>143.35</v>
      </c>
      <c r="F200" s="12">
        <v>3153.7</v>
      </c>
      <c r="G200" s="8">
        <v>43</v>
      </c>
      <c r="H200" s="8">
        <v>60</v>
      </c>
      <c r="I200" s="8">
        <v>79</v>
      </c>
      <c r="J200" s="8">
        <f>C200*0.1</f>
        <v>2.2000000000000002</v>
      </c>
      <c r="K200" s="8">
        <v>1900</v>
      </c>
      <c r="M200" s="8">
        <v>0.7</v>
      </c>
      <c r="N200" s="8">
        <v>0.85</v>
      </c>
      <c r="O200" s="8">
        <v>1.01</v>
      </c>
      <c r="P200" s="8">
        <f t="shared" si="36"/>
        <v>2926.0000000000005</v>
      </c>
      <c r="Q200" s="8">
        <f>N200*K200*J200</f>
        <v>3553.0000000000005</v>
      </c>
      <c r="R200" s="8">
        <f>O200*K200*J200</f>
        <v>4221.8</v>
      </c>
    </row>
    <row r="201" spans="1:18" ht="80" x14ac:dyDescent="0.2">
      <c r="A201" s="9" t="s">
        <v>6</v>
      </c>
      <c r="B201" s="10" t="s">
        <v>342</v>
      </c>
      <c r="C201" s="8">
        <v>26</v>
      </c>
      <c r="D201" s="11" t="s">
        <v>34</v>
      </c>
      <c r="E201" s="12">
        <v>97</v>
      </c>
      <c r="F201" s="12">
        <v>2522</v>
      </c>
      <c r="G201" s="8">
        <v>43</v>
      </c>
      <c r="H201" s="8">
        <v>60</v>
      </c>
      <c r="I201" s="8">
        <v>79</v>
      </c>
      <c r="J201" s="8">
        <f>C201*0.425*0.055</f>
        <v>0.6077499999999999</v>
      </c>
      <c r="K201" s="8">
        <v>470</v>
      </c>
      <c r="M201" s="8">
        <v>1.2</v>
      </c>
      <c r="N201" s="8">
        <v>2.1800000000000002</v>
      </c>
      <c r="O201" s="8">
        <v>3.8</v>
      </c>
      <c r="P201" s="8">
        <f t="shared" si="36"/>
        <v>342.77099999999996</v>
      </c>
      <c r="Q201" s="8">
        <f>N201*K201*J201</f>
        <v>622.70065</v>
      </c>
      <c r="R201" s="8">
        <f>O201*K201*J201</f>
        <v>1085.4414999999999</v>
      </c>
    </row>
    <row r="202" spans="1:18" ht="80" x14ac:dyDescent="0.2">
      <c r="A202" s="9" t="s">
        <v>9</v>
      </c>
      <c r="B202" s="10" t="s">
        <v>343</v>
      </c>
      <c r="C202" s="8">
        <v>2</v>
      </c>
      <c r="D202" s="11" t="s">
        <v>36</v>
      </c>
      <c r="E202" s="12">
        <v>270</v>
      </c>
      <c r="F202" s="12">
        <v>540</v>
      </c>
      <c r="G202" s="8">
        <v>43</v>
      </c>
      <c r="H202" s="8">
        <v>60</v>
      </c>
      <c r="I202" s="8">
        <v>79</v>
      </c>
      <c r="J202" s="8">
        <f>1.248*0.125*0.215*2</f>
        <v>6.7080000000000001E-2</v>
      </c>
      <c r="K202" s="8">
        <v>470</v>
      </c>
      <c r="M202" s="8">
        <v>1.2</v>
      </c>
      <c r="N202" s="8">
        <v>2.1800000000000002</v>
      </c>
      <c r="O202" s="8">
        <v>3.8</v>
      </c>
      <c r="P202" s="8">
        <f t="shared" si="36"/>
        <v>37.833120000000001</v>
      </c>
      <c r="Q202" s="8">
        <f>N202*K202*J202</f>
        <v>68.730168000000006</v>
      </c>
      <c r="R202" s="8">
        <f>O202*K202*J202</f>
        <v>119.80488</v>
      </c>
    </row>
    <row r="203" spans="1:18" ht="96" x14ac:dyDescent="0.2">
      <c r="A203" s="9" t="s">
        <v>10</v>
      </c>
      <c r="B203" s="10" t="s">
        <v>344</v>
      </c>
      <c r="C203" s="8">
        <v>9</v>
      </c>
      <c r="D203" s="11" t="s">
        <v>36</v>
      </c>
      <c r="E203" s="12">
        <v>95</v>
      </c>
      <c r="F203" s="12">
        <v>855</v>
      </c>
      <c r="G203" s="8">
        <v>43</v>
      </c>
      <c r="H203" s="8">
        <v>60</v>
      </c>
      <c r="I203" s="8">
        <v>79</v>
      </c>
      <c r="J203" s="8">
        <f>0.15*0.215*0.685*9</f>
        <v>0.19882125000000003</v>
      </c>
      <c r="K203" s="8">
        <v>470</v>
      </c>
      <c r="M203" s="8">
        <v>1.2</v>
      </c>
      <c r="N203" s="8">
        <v>2.1800000000000002</v>
      </c>
      <c r="O203" s="8">
        <v>3.8</v>
      </c>
      <c r="P203" s="8">
        <f t="shared" si="36"/>
        <v>112.13518500000002</v>
      </c>
      <c r="Q203" s="8">
        <f t="shared" ref="Q203:Q209" si="37">N203*K203*J203</f>
        <v>203.71225275000006</v>
      </c>
      <c r="R203" s="8">
        <f t="shared" ref="R203:R209" si="38">O203*K203*J203</f>
        <v>355.09475250000008</v>
      </c>
    </row>
    <row r="204" spans="1:18" ht="96" x14ac:dyDescent="0.2">
      <c r="A204" s="9" t="s">
        <v>11</v>
      </c>
      <c r="B204" s="10" t="s">
        <v>345</v>
      </c>
      <c r="C204" s="8">
        <v>6</v>
      </c>
      <c r="D204" s="11" t="s">
        <v>36</v>
      </c>
      <c r="E204" s="12">
        <v>138</v>
      </c>
      <c r="F204" s="12">
        <v>828</v>
      </c>
      <c r="G204" s="8">
        <v>43</v>
      </c>
      <c r="H204" s="8">
        <v>60</v>
      </c>
      <c r="I204" s="8">
        <v>79</v>
      </c>
      <c r="J204" s="8">
        <f>0.15*0.215*1.135*C204</f>
        <v>0.21962250000000003</v>
      </c>
      <c r="K204" s="8">
        <v>470</v>
      </c>
      <c r="M204" s="13">
        <v>1.2</v>
      </c>
      <c r="N204" s="13">
        <v>2.1800000000000002</v>
      </c>
      <c r="O204" s="13">
        <v>3.8</v>
      </c>
      <c r="P204" s="8">
        <f t="shared" si="36"/>
        <v>123.86709000000002</v>
      </c>
      <c r="Q204" s="8">
        <f t="shared" si="37"/>
        <v>225.02521350000006</v>
      </c>
      <c r="R204" s="8">
        <f t="shared" si="38"/>
        <v>392.24578500000007</v>
      </c>
    </row>
    <row r="205" spans="1:18" ht="96" x14ac:dyDescent="0.2">
      <c r="A205" s="9" t="s">
        <v>12</v>
      </c>
      <c r="B205" s="10" t="s">
        <v>346</v>
      </c>
      <c r="C205" s="8">
        <v>19</v>
      </c>
      <c r="D205" s="11" t="s">
        <v>36</v>
      </c>
      <c r="E205" s="12">
        <v>150</v>
      </c>
      <c r="F205" s="12">
        <v>2850</v>
      </c>
      <c r="G205" s="8">
        <v>43</v>
      </c>
      <c r="H205" s="8">
        <v>60</v>
      </c>
      <c r="I205" s="8">
        <v>79</v>
      </c>
      <c r="J205" s="8">
        <f>0.15*0.215*1.248*C205</f>
        <v>0.76471199999999995</v>
      </c>
      <c r="K205" s="8">
        <v>470</v>
      </c>
      <c r="M205" s="13">
        <v>1.2</v>
      </c>
      <c r="N205" s="13">
        <v>2.1800000000000002</v>
      </c>
      <c r="O205" s="13">
        <v>3.8</v>
      </c>
      <c r="P205" s="8">
        <f t="shared" si="36"/>
        <v>431.29756799999996</v>
      </c>
      <c r="Q205" s="8">
        <f t="shared" si="37"/>
        <v>783.52391520000003</v>
      </c>
      <c r="R205" s="8">
        <f t="shared" si="38"/>
        <v>1365.7756319999999</v>
      </c>
    </row>
    <row r="206" spans="1:18" ht="96" x14ac:dyDescent="0.2">
      <c r="A206" s="9" t="s">
        <v>13</v>
      </c>
      <c r="B206" s="10" t="s">
        <v>347</v>
      </c>
      <c r="C206" s="8">
        <v>2</v>
      </c>
      <c r="D206" s="11" t="s">
        <v>36</v>
      </c>
      <c r="E206" s="12">
        <v>157.5</v>
      </c>
      <c r="F206" s="12">
        <v>315</v>
      </c>
      <c r="G206" s="8">
        <v>43</v>
      </c>
      <c r="H206" s="8">
        <v>60</v>
      </c>
      <c r="I206" s="8">
        <v>79</v>
      </c>
      <c r="J206" s="8">
        <f>0.15*0.215*1.36*C206</f>
        <v>8.7720000000000006E-2</v>
      </c>
      <c r="K206" s="8">
        <v>470</v>
      </c>
      <c r="M206" s="13">
        <v>1.2</v>
      </c>
      <c r="N206" s="13">
        <v>2.1800000000000002</v>
      </c>
      <c r="O206" s="13">
        <v>3.8</v>
      </c>
      <c r="P206" s="8">
        <f>K206*M206*J206</f>
        <v>49.474080000000001</v>
      </c>
      <c r="Q206" s="8">
        <f t="shared" si="37"/>
        <v>89.877912000000023</v>
      </c>
      <c r="R206" s="8">
        <f t="shared" si="38"/>
        <v>156.66792000000001</v>
      </c>
    </row>
    <row r="207" spans="1:18" ht="96" x14ac:dyDescent="0.2">
      <c r="A207" s="9" t="s">
        <v>14</v>
      </c>
      <c r="B207" s="10" t="s">
        <v>348</v>
      </c>
      <c r="C207" s="8">
        <v>1</v>
      </c>
      <c r="D207" s="11" t="s">
        <v>36</v>
      </c>
      <c r="E207" s="12">
        <v>205</v>
      </c>
      <c r="F207" s="12">
        <v>205</v>
      </c>
      <c r="G207" s="8">
        <v>43</v>
      </c>
      <c r="H207" s="8">
        <v>60</v>
      </c>
      <c r="I207" s="8">
        <v>79</v>
      </c>
      <c r="J207" s="8">
        <f>0.15*0.215*1.698*C207</f>
        <v>5.4760499999999997E-2</v>
      </c>
      <c r="K207" s="8">
        <v>470</v>
      </c>
      <c r="M207" s="13">
        <v>1.2</v>
      </c>
      <c r="N207" s="13">
        <v>2.1800000000000002</v>
      </c>
      <c r="O207" s="13">
        <v>3.8</v>
      </c>
      <c r="P207" s="8">
        <f t="shared" ref="P207:P213" si="39">M207*K207*J207</f>
        <v>30.884922</v>
      </c>
      <c r="Q207" s="8">
        <f t="shared" si="37"/>
        <v>56.107608300000003</v>
      </c>
      <c r="R207" s="8">
        <f t="shared" si="38"/>
        <v>97.802252999999993</v>
      </c>
    </row>
    <row r="208" spans="1:18" ht="96" x14ac:dyDescent="0.2">
      <c r="A208" s="9" t="s">
        <v>15</v>
      </c>
      <c r="B208" s="10" t="s">
        <v>349</v>
      </c>
      <c r="C208" s="8">
        <v>4</v>
      </c>
      <c r="D208" s="11" t="s">
        <v>36</v>
      </c>
      <c r="E208" s="12">
        <v>212</v>
      </c>
      <c r="F208" s="12">
        <v>848</v>
      </c>
      <c r="G208" s="8">
        <v>43</v>
      </c>
      <c r="H208" s="8">
        <v>60</v>
      </c>
      <c r="I208" s="8">
        <v>79</v>
      </c>
      <c r="J208" s="8">
        <f>0.15*0.215*1.81*C208</f>
        <v>0.23349</v>
      </c>
      <c r="K208" s="8">
        <v>470</v>
      </c>
      <c r="M208" s="13">
        <v>1.2</v>
      </c>
      <c r="N208" s="13">
        <v>2.1800000000000002</v>
      </c>
      <c r="O208" s="13">
        <v>3.8</v>
      </c>
      <c r="P208" s="8">
        <f t="shared" si="39"/>
        <v>131.68835999999999</v>
      </c>
      <c r="Q208" s="8">
        <f t="shared" si="37"/>
        <v>239.23385400000004</v>
      </c>
      <c r="R208" s="8">
        <f t="shared" si="38"/>
        <v>417.01314000000002</v>
      </c>
    </row>
    <row r="209" spans="1:19" ht="96" x14ac:dyDescent="0.2">
      <c r="A209" s="9" t="s">
        <v>16</v>
      </c>
      <c r="B209" s="10" t="s">
        <v>350</v>
      </c>
      <c r="C209" s="8">
        <v>1</v>
      </c>
      <c r="D209" s="11" t="s">
        <v>36</v>
      </c>
      <c r="E209" s="12">
        <v>310</v>
      </c>
      <c r="F209" s="12">
        <v>310</v>
      </c>
      <c r="G209" s="8">
        <v>43</v>
      </c>
      <c r="H209" s="8">
        <v>60</v>
      </c>
      <c r="I209" s="8">
        <v>79</v>
      </c>
      <c r="J209" s="8">
        <f>0.15*0.215*2.7</f>
        <v>8.7075000000000014E-2</v>
      </c>
      <c r="K209" s="8">
        <v>470</v>
      </c>
      <c r="M209" s="13">
        <v>1.2</v>
      </c>
      <c r="N209" s="13">
        <v>2.1800000000000002</v>
      </c>
      <c r="O209" s="13">
        <v>3.8</v>
      </c>
      <c r="P209" s="8">
        <f t="shared" si="39"/>
        <v>49.110300000000009</v>
      </c>
      <c r="Q209" s="8">
        <f t="shared" si="37"/>
        <v>89.217045000000027</v>
      </c>
      <c r="R209" s="8">
        <f t="shared" si="38"/>
        <v>155.51595000000003</v>
      </c>
    </row>
    <row r="210" spans="1:19" ht="64" x14ac:dyDescent="0.2">
      <c r="A210" s="9" t="s">
        <v>17</v>
      </c>
      <c r="B210" s="10" t="s">
        <v>351</v>
      </c>
      <c r="C210" s="8">
        <v>1187</v>
      </c>
      <c r="D210" s="11" t="s">
        <v>35</v>
      </c>
      <c r="E210" s="12">
        <v>14.06</v>
      </c>
      <c r="F210" s="12">
        <v>16689.22</v>
      </c>
      <c r="G210" s="8">
        <v>52</v>
      </c>
      <c r="H210" s="8">
        <v>72</v>
      </c>
      <c r="I210" s="8">
        <v>101</v>
      </c>
      <c r="J210" s="8">
        <f>C210*5*0.2*(0.005/2)^2*3.14</f>
        <v>2.3294875E-2</v>
      </c>
      <c r="K210" s="8">
        <v>8000</v>
      </c>
      <c r="L210" s="1" t="s">
        <v>938</v>
      </c>
      <c r="M210" s="8">
        <v>40.200000000000003</v>
      </c>
      <c r="N210" s="8">
        <v>48.36</v>
      </c>
      <c r="O210" s="8">
        <v>51.48</v>
      </c>
      <c r="P210" s="8">
        <f t="shared" si="39"/>
        <v>7491.6318000000001</v>
      </c>
      <c r="Q210" s="8">
        <f>N210*K210*J210</f>
        <v>9012.3212399999993</v>
      </c>
      <c r="R210" s="8">
        <f>O210*K210*J210</f>
        <v>9593.7613199999996</v>
      </c>
      <c r="S210" s="8" t="s">
        <v>943</v>
      </c>
    </row>
    <row r="211" spans="1:19" ht="32" x14ac:dyDescent="0.2">
      <c r="A211" s="9" t="s">
        <v>18</v>
      </c>
      <c r="B211" s="10" t="s">
        <v>352</v>
      </c>
      <c r="C211" s="8">
        <v>311</v>
      </c>
      <c r="D211" s="11" t="s">
        <v>35</v>
      </c>
      <c r="E211" s="12">
        <v>16.45</v>
      </c>
      <c r="F211" s="12">
        <v>5115.95</v>
      </c>
      <c r="G211" s="8">
        <v>52</v>
      </c>
      <c r="H211" s="8">
        <v>72</v>
      </c>
      <c r="I211" s="8">
        <v>101</v>
      </c>
      <c r="J211" s="8">
        <f>C211*0.225</f>
        <v>69.975000000000009</v>
      </c>
      <c r="K211" s="8">
        <v>1650</v>
      </c>
      <c r="M211" s="8">
        <v>0.1</v>
      </c>
      <c r="N211" s="8">
        <v>1.54</v>
      </c>
      <c r="O211" s="8">
        <v>3.49</v>
      </c>
      <c r="P211" s="8">
        <f t="shared" si="39"/>
        <v>11545.875000000002</v>
      </c>
      <c r="Q211" s="8">
        <f>N211*K211*J211</f>
        <v>177806.47500000003</v>
      </c>
      <c r="R211" s="8">
        <f>O211*K211*J211</f>
        <v>402951.03750000003</v>
      </c>
    </row>
    <row r="212" spans="1:19" ht="64" x14ac:dyDescent="0.2">
      <c r="A212" s="9" t="s">
        <v>19</v>
      </c>
      <c r="B212" s="10" t="s">
        <v>353</v>
      </c>
      <c r="C212" s="8">
        <v>248</v>
      </c>
      <c r="D212" s="11" t="s">
        <v>34</v>
      </c>
      <c r="E212" s="12">
        <v>8.15</v>
      </c>
      <c r="F212" s="12">
        <v>2021.2</v>
      </c>
      <c r="G212" s="8">
        <v>50</v>
      </c>
      <c r="H212" s="8">
        <v>75</v>
      </c>
      <c r="I212" s="8">
        <v>100</v>
      </c>
      <c r="J212" s="8">
        <f>248*0.1*0.032</f>
        <v>0.79360000000000008</v>
      </c>
      <c r="K212" s="8">
        <v>1380</v>
      </c>
      <c r="M212" s="8">
        <v>69.400000000000006</v>
      </c>
      <c r="N212" s="8">
        <v>94.7</v>
      </c>
      <c r="O212" s="8">
        <v>120</v>
      </c>
      <c r="P212" s="8">
        <f t="shared" si="39"/>
        <v>76004.659200000024</v>
      </c>
      <c r="Q212" s="8">
        <f>N212*K212*J212</f>
        <v>103712.40960000001</v>
      </c>
      <c r="R212" s="8">
        <f>O212*K212*J212</f>
        <v>131420.16</v>
      </c>
    </row>
    <row r="213" spans="1:19" ht="64" x14ac:dyDescent="0.2">
      <c r="A213" s="9" t="s">
        <v>6</v>
      </c>
      <c r="B213" s="10" t="s">
        <v>354</v>
      </c>
      <c r="C213" s="8">
        <v>150</v>
      </c>
      <c r="D213" s="11" t="s">
        <v>34</v>
      </c>
      <c r="E213" s="12">
        <v>8.15</v>
      </c>
      <c r="F213" s="12">
        <v>1222.5</v>
      </c>
      <c r="G213" s="8">
        <v>50</v>
      </c>
      <c r="H213" s="8">
        <v>75</v>
      </c>
      <c r="I213" s="8">
        <v>100</v>
      </c>
      <c r="J213" s="8">
        <f>C213*0.1*0.032</f>
        <v>0.48</v>
      </c>
      <c r="K213" s="8">
        <v>1380</v>
      </c>
      <c r="M213" s="8">
        <v>69.400000000000006</v>
      </c>
      <c r="N213" s="8">
        <v>94.7</v>
      </c>
      <c r="O213" s="8">
        <v>120</v>
      </c>
      <c r="P213" s="8">
        <f t="shared" si="39"/>
        <v>45970.560000000005</v>
      </c>
      <c r="Q213" s="8">
        <f>N213*K213*J213</f>
        <v>62729.279999999999</v>
      </c>
      <c r="R213" s="8">
        <f>O213*K213*J213</f>
        <v>79488</v>
      </c>
    </row>
    <row r="214" spans="1:19" ht="32" x14ac:dyDescent="0.2">
      <c r="A214" s="9" t="s">
        <v>9</v>
      </c>
      <c r="B214" s="10" t="s">
        <v>355</v>
      </c>
      <c r="C214" s="8">
        <v>611</v>
      </c>
      <c r="D214" s="11" t="s">
        <v>36</v>
      </c>
      <c r="E214" s="12">
        <v>1.78</v>
      </c>
      <c r="F214" s="12">
        <v>1087.58</v>
      </c>
      <c r="G214" s="8">
        <v>52</v>
      </c>
      <c r="H214" s="8">
        <v>72</v>
      </c>
      <c r="I214" s="8">
        <v>101</v>
      </c>
      <c r="J214" s="8">
        <f>0.101*0.066*0.01*611</f>
        <v>4.072926000000001E-2</v>
      </c>
    </row>
    <row r="215" spans="1:19" x14ac:dyDescent="0.2">
      <c r="B215" s="15"/>
      <c r="C215" s="1" t="s">
        <v>139</v>
      </c>
      <c r="K215" s="8" t="s">
        <v>142</v>
      </c>
    </row>
    <row r="216" spans="1:19" ht="48" x14ac:dyDescent="0.2">
      <c r="A216" s="9" t="s">
        <v>10</v>
      </c>
      <c r="B216" s="10" t="s">
        <v>356</v>
      </c>
      <c r="C216" s="8">
        <v>6</v>
      </c>
      <c r="D216" s="11" t="s">
        <v>36</v>
      </c>
      <c r="E216" s="12">
        <v>23.17</v>
      </c>
      <c r="F216" s="12">
        <v>139.02000000000001</v>
      </c>
      <c r="G216" s="8">
        <v>50</v>
      </c>
      <c r="H216" s="8">
        <v>75</v>
      </c>
      <c r="I216" s="8">
        <v>100</v>
      </c>
      <c r="J216" s="8">
        <f>0.572*0.088*0.0016*6</f>
        <v>4.8322559999999998E-4</v>
      </c>
      <c r="K216" s="8">
        <v>7800</v>
      </c>
      <c r="L216" s="8" t="s">
        <v>138</v>
      </c>
      <c r="M216" s="8">
        <v>6</v>
      </c>
      <c r="N216" s="8">
        <v>29.36</v>
      </c>
      <c r="O216" s="8">
        <v>77</v>
      </c>
      <c r="P216" s="8">
        <f>M216*K216*J216</f>
        <v>22.614958080000001</v>
      </c>
      <c r="Q216" s="8">
        <f>N216*K216*J216</f>
        <v>110.6625282048</v>
      </c>
      <c r="R216" s="8">
        <f>O216*K216*J216</f>
        <v>290.22529536000002</v>
      </c>
    </row>
    <row r="217" spans="1:19" ht="48" x14ac:dyDescent="0.2">
      <c r="A217" s="9" t="s">
        <v>11</v>
      </c>
      <c r="B217" s="10" t="s">
        <v>357</v>
      </c>
      <c r="C217" s="8">
        <v>16</v>
      </c>
      <c r="D217" s="11" t="s">
        <v>36</v>
      </c>
      <c r="E217" s="12">
        <v>25.39</v>
      </c>
      <c r="F217" s="12">
        <v>406.24</v>
      </c>
      <c r="G217" s="8">
        <v>50</v>
      </c>
      <c r="H217" s="8">
        <v>75</v>
      </c>
      <c r="I217" s="8">
        <v>100</v>
      </c>
      <c r="J217" s="8">
        <f>0.685*0.088*0.0016*16</f>
        <v>1.5431680000000001E-3</v>
      </c>
      <c r="K217" s="8">
        <v>7800</v>
      </c>
      <c r="L217" s="8" t="s">
        <v>138</v>
      </c>
      <c r="M217" s="8">
        <v>6</v>
      </c>
      <c r="N217" s="8">
        <v>29.36</v>
      </c>
      <c r="O217" s="8">
        <v>77</v>
      </c>
      <c r="P217" s="8">
        <f t="shared" ref="P217:P224" si="40">M217*K217*J217</f>
        <v>72.22026240000001</v>
      </c>
      <c r="Q217" s="8">
        <f t="shared" ref="Q217:Q230" si="41">N217*K217*J217</f>
        <v>353.39781734400003</v>
      </c>
      <c r="R217" s="8">
        <f t="shared" ref="R217:R230" si="42">O217*K217*J217</f>
        <v>926.82670080000014</v>
      </c>
    </row>
    <row r="218" spans="1:19" ht="48" x14ac:dyDescent="0.2">
      <c r="A218" s="9" t="s">
        <v>12</v>
      </c>
      <c r="B218" s="10" t="s">
        <v>358</v>
      </c>
      <c r="C218" s="8">
        <v>1</v>
      </c>
      <c r="D218" s="11" t="s">
        <v>36</v>
      </c>
      <c r="E218" s="12">
        <v>32.630000000000003</v>
      </c>
      <c r="F218" s="12">
        <v>32.630000000000003</v>
      </c>
      <c r="G218" s="8">
        <v>50</v>
      </c>
      <c r="H218" s="8">
        <v>75</v>
      </c>
      <c r="I218" s="8">
        <v>100</v>
      </c>
      <c r="J218" s="8">
        <f>0.91*0.088*0.0016</f>
        <v>1.28128E-4</v>
      </c>
      <c r="K218" s="8">
        <v>7800</v>
      </c>
      <c r="L218" s="8" t="s">
        <v>138</v>
      </c>
      <c r="M218" s="8">
        <v>6</v>
      </c>
      <c r="N218" s="8">
        <v>29.36</v>
      </c>
      <c r="O218" s="8">
        <v>77</v>
      </c>
      <c r="P218" s="8">
        <f t="shared" si="40"/>
        <v>5.9963904000000001</v>
      </c>
      <c r="Q218" s="8">
        <f t="shared" si="41"/>
        <v>29.342337024000003</v>
      </c>
      <c r="R218" s="8">
        <f t="shared" si="42"/>
        <v>76.953676799999997</v>
      </c>
    </row>
    <row r="219" spans="1:19" ht="48" x14ac:dyDescent="0.2">
      <c r="A219" s="9" t="s">
        <v>13</v>
      </c>
      <c r="B219" s="10" t="s">
        <v>359</v>
      </c>
      <c r="C219" s="8">
        <v>6</v>
      </c>
      <c r="D219" s="11" t="s">
        <v>36</v>
      </c>
      <c r="E219" s="12">
        <v>33.630000000000003</v>
      </c>
      <c r="F219" s="12">
        <v>201.78</v>
      </c>
      <c r="G219" s="8">
        <v>50</v>
      </c>
      <c r="H219" s="8">
        <v>75</v>
      </c>
      <c r="I219" s="8">
        <v>100</v>
      </c>
      <c r="J219" s="8">
        <f>1.022*0.088*0.0016*6</f>
        <v>8.6338560000000014E-4</v>
      </c>
      <c r="K219" s="8">
        <v>7800</v>
      </c>
      <c r="L219" s="8" t="s">
        <v>138</v>
      </c>
      <c r="M219" s="8">
        <v>6</v>
      </c>
      <c r="N219" s="8">
        <v>29.36</v>
      </c>
      <c r="O219" s="8">
        <v>77</v>
      </c>
      <c r="P219" s="8">
        <f t="shared" si="40"/>
        <v>40.406446080000009</v>
      </c>
      <c r="Q219" s="8">
        <f t="shared" si="41"/>
        <v>197.72220948480003</v>
      </c>
      <c r="R219" s="8">
        <f t="shared" si="42"/>
        <v>518.54939136000007</v>
      </c>
    </row>
    <row r="220" spans="1:19" ht="48" x14ac:dyDescent="0.2">
      <c r="A220" s="9" t="s">
        <v>14</v>
      </c>
      <c r="B220" s="10" t="s">
        <v>360</v>
      </c>
      <c r="C220" s="8">
        <v>10</v>
      </c>
      <c r="D220" s="11" t="s">
        <v>36</v>
      </c>
      <c r="E220" s="12">
        <v>36.06</v>
      </c>
      <c r="F220" s="12">
        <v>360.6</v>
      </c>
      <c r="G220" s="8">
        <v>50</v>
      </c>
      <c r="H220" s="8">
        <v>75</v>
      </c>
      <c r="I220" s="8">
        <v>100</v>
      </c>
      <c r="J220" s="8">
        <f>1.135*0.88*0.0016*10</f>
        <v>1.5980800000000003E-2</v>
      </c>
      <c r="K220" s="8">
        <v>7800</v>
      </c>
      <c r="L220" s="8" t="s">
        <v>138</v>
      </c>
      <c r="M220" s="8">
        <v>6</v>
      </c>
      <c r="N220" s="8">
        <v>29.36</v>
      </c>
      <c r="O220" s="8">
        <v>77</v>
      </c>
      <c r="P220" s="8">
        <f t="shared" si="40"/>
        <v>747.90144000000021</v>
      </c>
      <c r="Q220" s="8">
        <f t="shared" si="41"/>
        <v>3659.7310464000007</v>
      </c>
      <c r="R220" s="8">
        <f t="shared" si="42"/>
        <v>9598.0684800000017</v>
      </c>
    </row>
    <row r="221" spans="1:19" ht="48" x14ac:dyDescent="0.2">
      <c r="A221" s="9" t="s">
        <v>15</v>
      </c>
      <c r="B221" s="10" t="s">
        <v>361</v>
      </c>
      <c r="C221" s="8">
        <v>28</v>
      </c>
      <c r="D221" s="11" t="s">
        <v>36</v>
      </c>
      <c r="E221" s="12">
        <v>41.92</v>
      </c>
      <c r="F221" s="12">
        <v>1173.76</v>
      </c>
      <c r="G221" s="8">
        <v>50</v>
      </c>
      <c r="H221" s="8">
        <v>75</v>
      </c>
      <c r="I221" s="8">
        <v>100</v>
      </c>
      <c r="J221" s="8">
        <f>1.248*0.088*0.0016*28</f>
        <v>4.9201152000000001E-3</v>
      </c>
      <c r="K221" s="8">
        <v>7800</v>
      </c>
      <c r="L221" s="8" t="s">
        <v>138</v>
      </c>
      <c r="M221" s="8">
        <v>6</v>
      </c>
      <c r="N221" s="8">
        <v>29.36</v>
      </c>
      <c r="O221" s="8">
        <v>77</v>
      </c>
      <c r="P221" s="8">
        <f t="shared" si="40"/>
        <v>230.26139136</v>
      </c>
      <c r="Q221" s="8">
        <f t="shared" si="41"/>
        <v>1126.7457417216001</v>
      </c>
      <c r="R221" s="8">
        <f t="shared" si="42"/>
        <v>2955.0211891200001</v>
      </c>
    </row>
    <row r="222" spans="1:19" ht="48" x14ac:dyDescent="0.2">
      <c r="A222" s="9" t="s">
        <v>16</v>
      </c>
      <c r="B222" s="10" t="s">
        <v>362</v>
      </c>
      <c r="C222" s="8">
        <v>5</v>
      </c>
      <c r="D222" s="11" t="s">
        <v>36</v>
      </c>
      <c r="E222" s="12">
        <v>45.32</v>
      </c>
      <c r="F222" s="12">
        <v>226.6</v>
      </c>
      <c r="G222" s="8">
        <v>50</v>
      </c>
      <c r="H222" s="8">
        <v>75</v>
      </c>
      <c r="I222" s="8">
        <v>100</v>
      </c>
      <c r="J222" s="8">
        <f>1.36*0.085*0.002*5</f>
        <v>1.1560000000000001E-3</v>
      </c>
      <c r="K222" s="8">
        <v>7800</v>
      </c>
      <c r="L222" s="8" t="s">
        <v>140</v>
      </c>
      <c r="M222" s="8">
        <v>6</v>
      </c>
      <c r="N222" s="8">
        <v>29.36</v>
      </c>
      <c r="O222" s="8">
        <v>77</v>
      </c>
      <c r="P222" s="8">
        <f t="shared" si="40"/>
        <v>54.100800000000007</v>
      </c>
      <c r="Q222" s="8">
        <f t="shared" si="41"/>
        <v>264.733248</v>
      </c>
      <c r="R222" s="8">
        <f t="shared" si="42"/>
        <v>694.29360000000008</v>
      </c>
    </row>
    <row r="223" spans="1:19" ht="48" x14ac:dyDescent="0.2">
      <c r="A223" s="9" t="s">
        <v>17</v>
      </c>
      <c r="B223" s="10" t="s">
        <v>363</v>
      </c>
      <c r="C223" s="8">
        <v>2</v>
      </c>
      <c r="D223" s="11" t="s">
        <v>36</v>
      </c>
      <c r="E223" s="12">
        <v>58.17</v>
      </c>
      <c r="F223" s="12">
        <v>116.34</v>
      </c>
      <c r="G223" s="8">
        <v>50</v>
      </c>
      <c r="H223" s="8">
        <v>75</v>
      </c>
      <c r="I223" s="8">
        <v>100</v>
      </c>
      <c r="J223" s="8">
        <f>1.585*0.085*0.002*2</f>
        <v>5.3890000000000003E-4</v>
      </c>
      <c r="K223" s="8">
        <v>7800</v>
      </c>
      <c r="L223" s="8" t="s">
        <v>140</v>
      </c>
      <c r="M223" s="8">
        <v>6</v>
      </c>
      <c r="N223" s="8">
        <v>29.36</v>
      </c>
      <c r="O223" s="8">
        <v>77</v>
      </c>
      <c r="P223" s="8">
        <f t="shared" si="40"/>
        <v>25.22052</v>
      </c>
      <c r="Q223" s="8">
        <f t="shared" si="41"/>
        <v>123.41241120000001</v>
      </c>
      <c r="R223" s="8">
        <f t="shared" si="42"/>
        <v>323.66334000000001</v>
      </c>
    </row>
    <row r="224" spans="1:19" ht="48" x14ac:dyDescent="0.2">
      <c r="A224" s="9" t="s">
        <v>18</v>
      </c>
      <c r="B224" s="10" t="s">
        <v>364</v>
      </c>
      <c r="C224" s="8">
        <v>2</v>
      </c>
      <c r="D224" s="11" t="s">
        <v>36</v>
      </c>
      <c r="E224" s="12">
        <v>60.18</v>
      </c>
      <c r="F224" s="12">
        <v>120.36</v>
      </c>
      <c r="G224" s="8">
        <v>50</v>
      </c>
      <c r="H224" s="8">
        <v>75</v>
      </c>
      <c r="I224" s="8">
        <v>100</v>
      </c>
      <c r="J224" s="8">
        <f>1.698*0.107*0.002*2</f>
        <v>7.2674399999999998E-4</v>
      </c>
      <c r="K224" s="8">
        <v>7800</v>
      </c>
      <c r="L224" s="8" t="s">
        <v>141</v>
      </c>
      <c r="M224" s="8">
        <v>6</v>
      </c>
      <c r="N224" s="8">
        <v>29.36</v>
      </c>
      <c r="O224" s="8">
        <v>77</v>
      </c>
      <c r="P224" s="8">
        <f t="shared" si="40"/>
        <v>34.011619199999998</v>
      </c>
      <c r="Q224" s="8">
        <f t="shared" si="41"/>
        <v>166.43018995200001</v>
      </c>
      <c r="R224" s="8">
        <f t="shared" si="42"/>
        <v>436.48244640000001</v>
      </c>
    </row>
    <row r="225" spans="1:18" ht="48" x14ac:dyDescent="0.2">
      <c r="A225" s="9" t="s">
        <v>19</v>
      </c>
      <c r="B225" s="10" t="s">
        <v>365</v>
      </c>
      <c r="C225" s="8">
        <v>7</v>
      </c>
      <c r="D225" s="11" t="s">
        <v>36</v>
      </c>
      <c r="E225" s="12">
        <v>84.37</v>
      </c>
      <c r="F225" s="12">
        <v>590.59</v>
      </c>
      <c r="G225" s="8">
        <v>50</v>
      </c>
      <c r="H225" s="8">
        <v>75</v>
      </c>
      <c r="I225" s="8">
        <v>100</v>
      </c>
      <c r="J225" s="8">
        <f>1.81*0.107*0.002*7</f>
        <v>2.7113800000000002E-3</v>
      </c>
      <c r="K225" s="8">
        <v>7800</v>
      </c>
      <c r="L225" s="8" t="s">
        <v>141</v>
      </c>
      <c r="M225" s="8">
        <v>6</v>
      </c>
      <c r="N225" s="8">
        <v>29.36</v>
      </c>
      <c r="O225" s="8">
        <v>77</v>
      </c>
      <c r="P225" s="8">
        <f t="shared" ref="P225:P230" si="43">M225*K225*J225</f>
        <v>126.89258400000001</v>
      </c>
      <c r="Q225" s="8">
        <f t="shared" si="41"/>
        <v>620.92771104000008</v>
      </c>
      <c r="R225" s="8">
        <f t="shared" si="42"/>
        <v>1628.4548280000001</v>
      </c>
    </row>
    <row r="226" spans="1:18" ht="48" x14ac:dyDescent="0.2">
      <c r="A226" s="9" t="s">
        <v>20</v>
      </c>
      <c r="B226" s="10" t="s">
        <v>366</v>
      </c>
      <c r="C226" s="8">
        <v>2</v>
      </c>
      <c r="D226" s="11" t="s">
        <v>36</v>
      </c>
      <c r="E226" s="12">
        <v>111.14</v>
      </c>
      <c r="F226" s="12">
        <v>222.28</v>
      </c>
      <c r="G226" s="8">
        <v>50</v>
      </c>
      <c r="H226" s="8">
        <v>75</v>
      </c>
      <c r="I226" s="8">
        <v>100</v>
      </c>
      <c r="J226" s="8">
        <f>2.373*0.15*0.002*2</f>
        <v>1.4238000000000002E-3</v>
      </c>
      <c r="K226" s="8">
        <v>7800</v>
      </c>
      <c r="L226" s="8" t="s">
        <v>143</v>
      </c>
      <c r="M226" s="8">
        <v>6</v>
      </c>
      <c r="N226" s="8">
        <v>29.36</v>
      </c>
      <c r="O226" s="8">
        <v>77</v>
      </c>
      <c r="P226" s="8">
        <f t="shared" si="43"/>
        <v>66.633840000000006</v>
      </c>
      <c r="Q226" s="8">
        <f t="shared" si="41"/>
        <v>326.06159040000006</v>
      </c>
      <c r="R226" s="8">
        <f t="shared" si="42"/>
        <v>855.1342800000001</v>
      </c>
    </row>
    <row r="227" spans="1:18" ht="64" x14ac:dyDescent="0.2">
      <c r="A227" s="9" t="s">
        <v>21</v>
      </c>
      <c r="B227" s="10" t="s">
        <v>367</v>
      </c>
      <c r="C227" s="8">
        <v>5</v>
      </c>
      <c r="D227" s="11" t="s">
        <v>36</v>
      </c>
      <c r="E227" s="12">
        <v>145.06</v>
      </c>
      <c r="F227" s="12">
        <v>725.3</v>
      </c>
      <c r="G227" s="8">
        <v>50</v>
      </c>
      <c r="H227" s="8">
        <v>75</v>
      </c>
      <c r="I227" s="8">
        <v>100</v>
      </c>
      <c r="J227" s="8">
        <f>2.485*0.162*0.0026*5</f>
        <v>5.23341E-3</v>
      </c>
      <c r="K227" s="8">
        <v>7800</v>
      </c>
      <c r="L227" s="8" t="s">
        <v>144</v>
      </c>
      <c r="M227" s="8">
        <v>6</v>
      </c>
      <c r="N227" s="8">
        <v>29.36</v>
      </c>
      <c r="O227" s="8">
        <v>77</v>
      </c>
      <c r="P227" s="8">
        <f t="shared" si="43"/>
        <v>244.923588</v>
      </c>
      <c r="Q227" s="8">
        <f t="shared" si="41"/>
        <v>1198.49275728</v>
      </c>
      <c r="R227" s="8">
        <f t="shared" si="42"/>
        <v>3143.1860459999998</v>
      </c>
    </row>
    <row r="228" spans="1:18" ht="48" x14ac:dyDescent="0.2">
      <c r="A228" s="9" t="s">
        <v>22</v>
      </c>
      <c r="B228" s="10" t="s">
        <v>368</v>
      </c>
      <c r="C228" s="8">
        <v>1</v>
      </c>
      <c r="D228" s="11" t="s">
        <v>36</v>
      </c>
      <c r="E228" s="12">
        <v>150.06</v>
      </c>
      <c r="F228" s="12">
        <v>150.06</v>
      </c>
      <c r="G228" s="8">
        <v>50</v>
      </c>
      <c r="H228" s="8">
        <v>75</v>
      </c>
      <c r="I228" s="8">
        <v>100</v>
      </c>
      <c r="J228" s="8">
        <f>2.598*0.162*0.0026</f>
        <v>1.0942775999999998E-3</v>
      </c>
      <c r="K228" s="8">
        <v>7800</v>
      </c>
      <c r="L228" s="8" t="s">
        <v>144</v>
      </c>
      <c r="M228" s="8">
        <v>6</v>
      </c>
      <c r="N228" s="8">
        <v>29.36</v>
      </c>
      <c r="O228" s="8">
        <v>77</v>
      </c>
      <c r="P228" s="8">
        <f t="shared" si="43"/>
        <v>51.212191679999989</v>
      </c>
      <c r="Q228" s="8">
        <f t="shared" si="41"/>
        <v>250.59832462079996</v>
      </c>
      <c r="R228" s="8">
        <f t="shared" si="42"/>
        <v>657.22312655999986</v>
      </c>
    </row>
    <row r="229" spans="1:18" ht="48" x14ac:dyDescent="0.2">
      <c r="A229" s="9" t="s">
        <v>6</v>
      </c>
      <c r="B229" s="10" t="s">
        <v>369</v>
      </c>
      <c r="C229" s="8">
        <v>1</v>
      </c>
      <c r="D229" s="11" t="s">
        <v>36</v>
      </c>
      <c r="E229" s="12">
        <v>150.06</v>
      </c>
      <c r="F229" s="12">
        <v>150.06</v>
      </c>
      <c r="G229" s="8">
        <v>50</v>
      </c>
      <c r="H229" s="8">
        <v>75</v>
      </c>
      <c r="I229" s="8">
        <v>100</v>
      </c>
      <c r="J229" s="8">
        <f>2.71*0.162*0.0026</f>
        <v>1.141452E-3</v>
      </c>
      <c r="K229" s="8">
        <v>7800</v>
      </c>
      <c r="L229" s="8" t="s">
        <v>144</v>
      </c>
      <c r="M229" s="8">
        <v>6</v>
      </c>
      <c r="N229" s="8">
        <v>29.36</v>
      </c>
      <c r="O229" s="8">
        <v>77</v>
      </c>
      <c r="P229" s="8">
        <f t="shared" si="43"/>
        <v>53.419953599999999</v>
      </c>
      <c r="Q229" s="8">
        <f t="shared" si="41"/>
        <v>261.40163961600001</v>
      </c>
      <c r="R229" s="8">
        <f t="shared" si="42"/>
        <v>685.55607120000002</v>
      </c>
    </row>
    <row r="230" spans="1:18" ht="48" x14ac:dyDescent="0.2">
      <c r="A230" s="9" t="s">
        <v>9</v>
      </c>
      <c r="B230" s="10" t="s">
        <v>370</v>
      </c>
      <c r="C230" s="8">
        <v>6</v>
      </c>
      <c r="D230" s="11" t="s">
        <v>36</v>
      </c>
      <c r="E230" s="12">
        <v>155.47</v>
      </c>
      <c r="F230" s="12">
        <v>932.82</v>
      </c>
      <c r="G230" s="8">
        <v>50</v>
      </c>
      <c r="H230" s="8">
        <v>75</v>
      </c>
      <c r="I230" s="8">
        <v>100</v>
      </c>
      <c r="J230" s="8">
        <f>2.935*0.171*0.0026*6</f>
        <v>7.8294060000000006E-3</v>
      </c>
      <c r="K230" s="8">
        <v>7800</v>
      </c>
      <c r="L230" s="8" t="s">
        <v>145</v>
      </c>
      <c r="M230" s="8">
        <v>6</v>
      </c>
      <c r="N230" s="8">
        <v>29.36</v>
      </c>
      <c r="O230" s="8">
        <v>77</v>
      </c>
      <c r="P230" s="8">
        <f t="shared" si="43"/>
        <v>366.41620080000001</v>
      </c>
      <c r="Q230" s="8">
        <f t="shared" si="41"/>
        <v>1792.9966092480001</v>
      </c>
      <c r="R230" s="8">
        <f t="shared" si="42"/>
        <v>4702.3412436000008</v>
      </c>
    </row>
    <row r="231" spans="1:18" ht="48" x14ac:dyDescent="0.2">
      <c r="A231" s="9" t="s">
        <v>10</v>
      </c>
      <c r="B231" s="10" t="s">
        <v>371</v>
      </c>
      <c r="C231" s="8">
        <v>18</v>
      </c>
      <c r="D231" s="11" t="s">
        <v>34</v>
      </c>
      <c r="E231" s="12">
        <v>10.8</v>
      </c>
      <c r="F231" s="12">
        <v>194.4</v>
      </c>
      <c r="G231" s="8">
        <v>39</v>
      </c>
      <c r="H231" s="8">
        <v>56</v>
      </c>
      <c r="I231" s="8">
        <v>72</v>
      </c>
      <c r="J231" s="8">
        <f>18*0.125*0.125</f>
        <v>0.28125</v>
      </c>
      <c r="K231" s="8">
        <v>550</v>
      </c>
      <c r="M231" s="8">
        <v>0.72</v>
      </c>
      <c r="N231" s="8">
        <v>7.4</v>
      </c>
      <c r="O231" s="8">
        <v>13</v>
      </c>
      <c r="P231" s="8">
        <f>M231*K231*J231</f>
        <v>111.375</v>
      </c>
      <c r="Q231" s="8">
        <f>N231*K231*J231</f>
        <v>1144.6875</v>
      </c>
      <c r="R231" s="8">
        <f>O231*K231*J231</f>
        <v>2010.9375</v>
      </c>
    </row>
    <row r="232" spans="1:18" ht="48" x14ac:dyDescent="0.2">
      <c r="A232" s="9" t="s">
        <v>11</v>
      </c>
      <c r="B232" s="10" t="s">
        <v>372</v>
      </c>
      <c r="C232" s="8">
        <v>26</v>
      </c>
      <c r="D232" s="11" t="s">
        <v>34</v>
      </c>
      <c r="E232" s="12">
        <v>5.45</v>
      </c>
      <c r="F232" s="12">
        <v>141.69999999999999</v>
      </c>
      <c r="G232" s="8">
        <v>39</v>
      </c>
      <c r="H232" s="8">
        <v>56</v>
      </c>
      <c r="I232" s="8">
        <v>72</v>
      </c>
      <c r="J232" s="8">
        <f>26*0.125*0.05</f>
        <v>0.16250000000000001</v>
      </c>
      <c r="K232" s="8">
        <v>550</v>
      </c>
      <c r="M232" s="8">
        <v>0.72</v>
      </c>
      <c r="N232" s="8">
        <v>7.4</v>
      </c>
      <c r="O232" s="8">
        <v>13</v>
      </c>
      <c r="P232" s="8">
        <f t="shared" ref="P232:P237" si="44">M232*K232*J232</f>
        <v>64.350000000000009</v>
      </c>
      <c r="Q232" s="8">
        <f t="shared" ref="Q232:Q235" si="45">N232*K232*J232</f>
        <v>661.375</v>
      </c>
      <c r="R232" s="8">
        <f t="shared" ref="R232:R237" si="46">O232*K232*J232</f>
        <v>1161.875</v>
      </c>
    </row>
    <row r="233" spans="1:18" ht="48" x14ac:dyDescent="0.2">
      <c r="A233" s="9" t="s">
        <v>12</v>
      </c>
      <c r="B233" s="10" t="s">
        <v>373</v>
      </c>
      <c r="C233" s="8">
        <v>18</v>
      </c>
      <c r="D233" s="11" t="s">
        <v>34</v>
      </c>
      <c r="E233" s="12">
        <v>11.33</v>
      </c>
      <c r="F233" s="12">
        <v>203.94</v>
      </c>
      <c r="G233" s="8">
        <v>39</v>
      </c>
      <c r="H233" s="8">
        <v>56</v>
      </c>
      <c r="I233" s="8">
        <v>72</v>
      </c>
      <c r="J233" s="8">
        <f>18*0.15*0.15</f>
        <v>0.40499999999999997</v>
      </c>
      <c r="K233" s="8">
        <v>550</v>
      </c>
      <c r="M233" s="13">
        <v>0.72</v>
      </c>
      <c r="N233" s="13">
        <v>7.4</v>
      </c>
      <c r="O233" s="13">
        <v>13</v>
      </c>
      <c r="P233" s="8">
        <f t="shared" si="44"/>
        <v>160.38</v>
      </c>
      <c r="Q233" s="8">
        <f t="shared" si="45"/>
        <v>1648.35</v>
      </c>
      <c r="R233" s="8">
        <f t="shared" si="46"/>
        <v>2895.75</v>
      </c>
    </row>
    <row r="234" spans="1:18" ht="48" x14ac:dyDescent="0.2">
      <c r="A234" s="9" t="s">
        <v>13</v>
      </c>
      <c r="B234" s="10" t="s">
        <v>374</v>
      </c>
      <c r="C234" s="8">
        <v>40</v>
      </c>
      <c r="D234" s="11" t="s">
        <v>34</v>
      </c>
      <c r="E234" s="12">
        <v>37.5</v>
      </c>
      <c r="F234" s="12">
        <v>1500</v>
      </c>
      <c r="G234" s="8">
        <v>39</v>
      </c>
      <c r="H234" s="8">
        <v>56</v>
      </c>
      <c r="I234" s="8">
        <v>72</v>
      </c>
      <c r="J234" s="8">
        <f>40*0.3*0.2</f>
        <v>2.4000000000000004</v>
      </c>
      <c r="K234" s="8">
        <v>550</v>
      </c>
      <c r="M234" s="13">
        <v>0.72</v>
      </c>
      <c r="N234" s="13">
        <v>7.4</v>
      </c>
      <c r="O234" s="13">
        <v>13</v>
      </c>
      <c r="P234" s="8">
        <f t="shared" si="44"/>
        <v>950.40000000000009</v>
      </c>
      <c r="Q234" s="8">
        <f t="shared" si="45"/>
        <v>9768.0000000000018</v>
      </c>
      <c r="R234" s="8">
        <f t="shared" si="46"/>
        <v>17160.000000000004</v>
      </c>
    </row>
    <row r="235" spans="1:18" ht="64" x14ac:dyDescent="0.2">
      <c r="A235" s="9" t="s">
        <v>14</v>
      </c>
      <c r="B235" s="10" t="s">
        <v>375</v>
      </c>
      <c r="C235" s="8">
        <v>20</v>
      </c>
      <c r="D235" s="11" t="s">
        <v>34</v>
      </c>
      <c r="E235" s="12">
        <v>19.350000000000001</v>
      </c>
      <c r="F235" s="12">
        <v>387</v>
      </c>
      <c r="G235" s="8">
        <v>39</v>
      </c>
      <c r="H235" s="8">
        <v>56</v>
      </c>
      <c r="I235" s="8">
        <v>72</v>
      </c>
      <c r="J235" s="8">
        <f>20*0.2*0.15</f>
        <v>0.6</v>
      </c>
      <c r="K235" s="8">
        <v>550</v>
      </c>
      <c r="M235" s="13">
        <v>0.72</v>
      </c>
      <c r="N235" s="13">
        <v>7.4</v>
      </c>
      <c r="O235" s="13">
        <v>13</v>
      </c>
      <c r="P235" s="8">
        <f t="shared" si="44"/>
        <v>237.6</v>
      </c>
      <c r="Q235" s="8">
        <f t="shared" si="45"/>
        <v>2442</v>
      </c>
      <c r="R235" s="8">
        <f t="shared" si="46"/>
        <v>4290</v>
      </c>
    </row>
    <row r="236" spans="1:18" ht="80" x14ac:dyDescent="0.2">
      <c r="A236" s="9" t="s">
        <v>15</v>
      </c>
      <c r="B236" s="10" t="s">
        <v>376</v>
      </c>
      <c r="C236" s="8">
        <v>3</v>
      </c>
      <c r="D236" s="11" t="s">
        <v>34</v>
      </c>
      <c r="E236" s="12">
        <v>33.35</v>
      </c>
      <c r="F236" s="12">
        <v>100.05</v>
      </c>
      <c r="G236" s="8">
        <v>39</v>
      </c>
      <c r="H236" s="8">
        <v>56</v>
      </c>
      <c r="I236" s="8">
        <v>72</v>
      </c>
      <c r="J236" s="8">
        <f>3*0.2*0.15</f>
        <v>9.0000000000000011E-2</v>
      </c>
      <c r="K236" s="8">
        <v>550</v>
      </c>
      <c r="M236" s="13">
        <v>0.72</v>
      </c>
      <c r="N236" s="13">
        <v>7.4</v>
      </c>
      <c r="O236" s="13">
        <v>13</v>
      </c>
      <c r="P236" s="8">
        <f t="shared" si="44"/>
        <v>35.640000000000008</v>
      </c>
      <c r="Q236" s="8">
        <f>N236*K236*J236</f>
        <v>366.30000000000007</v>
      </c>
      <c r="R236" s="8">
        <f t="shared" si="46"/>
        <v>643.50000000000011</v>
      </c>
    </row>
    <row r="237" spans="1:18" ht="48" x14ac:dyDescent="0.2">
      <c r="A237" s="9" t="s">
        <v>16</v>
      </c>
      <c r="B237" s="10" t="s">
        <v>377</v>
      </c>
      <c r="C237" s="8">
        <v>73</v>
      </c>
      <c r="D237" s="11" t="s">
        <v>34</v>
      </c>
      <c r="E237" s="12">
        <v>4.17</v>
      </c>
      <c r="F237" s="12">
        <v>304.41000000000003</v>
      </c>
      <c r="G237" s="8">
        <v>39</v>
      </c>
      <c r="H237" s="8">
        <v>56</v>
      </c>
      <c r="I237" s="8">
        <v>72</v>
      </c>
      <c r="J237" s="8">
        <f>73*0.05*0.1</f>
        <v>0.36500000000000005</v>
      </c>
      <c r="K237" s="8">
        <v>550</v>
      </c>
      <c r="M237" s="13">
        <v>0.72</v>
      </c>
      <c r="N237" s="13">
        <v>7.4</v>
      </c>
      <c r="O237" s="13">
        <v>13</v>
      </c>
      <c r="P237" s="8">
        <f t="shared" si="44"/>
        <v>144.54000000000002</v>
      </c>
      <c r="Q237" s="8">
        <f t="shared" ref="Q237" si="47">N237*K237*J237</f>
        <v>1485.5500000000002</v>
      </c>
      <c r="R237" s="8">
        <f t="shared" si="46"/>
        <v>2609.7500000000005</v>
      </c>
    </row>
    <row r="238" spans="1:18" ht="64" x14ac:dyDescent="0.2">
      <c r="A238" s="9" t="s">
        <v>17</v>
      </c>
      <c r="B238" s="10" t="s">
        <v>378</v>
      </c>
      <c r="C238" s="8">
        <v>8</v>
      </c>
      <c r="D238" s="11" t="s">
        <v>36</v>
      </c>
      <c r="E238" s="12">
        <v>87.5</v>
      </c>
      <c r="F238" s="12">
        <v>700</v>
      </c>
    </row>
    <row r="239" spans="1:18" ht="64" x14ac:dyDescent="0.2">
      <c r="A239" s="9" t="s">
        <v>18</v>
      </c>
      <c r="B239" s="10" t="s">
        <v>379</v>
      </c>
      <c r="C239" s="8">
        <v>8</v>
      </c>
      <c r="D239" s="11" t="s">
        <v>36</v>
      </c>
      <c r="E239" s="12">
        <v>87.5</v>
      </c>
      <c r="F239" s="12">
        <v>700</v>
      </c>
    </row>
    <row r="240" spans="1:18" ht="32" x14ac:dyDescent="0.2">
      <c r="A240" s="9" t="s">
        <v>19</v>
      </c>
      <c r="B240" s="10" t="s">
        <v>380</v>
      </c>
      <c r="C240" s="8">
        <v>44</v>
      </c>
      <c r="D240" s="11" t="s">
        <v>36</v>
      </c>
      <c r="E240" s="12">
        <v>2.27</v>
      </c>
      <c r="F240" s="12">
        <v>99.88</v>
      </c>
    </row>
    <row r="241" spans="1:18" ht="96" x14ac:dyDescent="0.2">
      <c r="A241" s="9" t="s">
        <v>6</v>
      </c>
      <c r="B241" s="10" t="s">
        <v>381</v>
      </c>
      <c r="C241" s="8">
        <v>13</v>
      </c>
      <c r="D241" s="11" t="s">
        <v>35</v>
      </c>
      <c r="E241" s="12">
        <v>280.32</v>
      </c>
      <c r="F241" s="12">
        <v>3644.16</v>
      </c>
      <c r="G241" s="8">
        <v>24</v>
      </c>
      <c r="H241" s="8">
        <v>38</v>
      </c>
      <c r="I241" s="8">
        <v>49</v>
      </c>
      <c r="J241" s="8">
        <f>13*0.02</f>
        <v>0.26</v>
      </c>
      <c r="K241" s="8">
        <v>350</v>
      </c>
      <c r="M241" s="8">
        <f>N241*0.7</f>
        <v>7.2799999999999994</v>
      </c>
      <c r="N241" s="8">
        <v>10.4</v>
      </c>
      <c r="O241" s="8">
        <f>N241*1.3</f>
        <v>13.520000000000001</v>
      </c>
      <c r="P241" s="8">
        <f>M241*K241*J241</f>
        <v>662.48</v>
      </c>
      <c r="Q241" s="8">
        <f>N241*K241*J241</f>
        <v>946.4</v>
      </c>
      <c r="R241" s="8">
        <f>O241*K241*J241</f>
        <v>1230.3200000000004</v>
      </c>
    </row>
    <row r="242" spans="1:18" ht="64" x14ac:dyDescent="0.2">
      <c r="A242" s="9" t="s">
        <v>9</v>
      </c>
      <c r="B242" s="10" t="s">
        <v>382</v>
      </c>
      <c r="C242" s="8">
        <v>26</v>
      </c>
      <c r="D242" s="11" t="s">
        <v>34</v>
      </c>
      <c r="E242" s="12">
        <v>31.9</v>
      </c>
      <c r="F242" s="12">
        <v>829.4</v>
      </c>
      <c r="G242" s="8">
        <v>24</v>
      </c>
      <c r="H242" s="8">
        <v>38</v>
      </c>
      <c r="I242" s="8">
        <v>49</v>
      </c>
      <c r="J242" s="8">
        <f>0.3*0.008*26</f>
        <v>6.2399999999999997E-2</v>
      </c>
      <c r="K242" s="8">
        <v>350</v>
      </c>
      <c r="M242" s="8">
        <v>7.28</v>
      </c>
      <c r="N242" s="8">
        <v>10.4</v>
      </c>
      <c r="O242" s="8">
        <v>13.52</v>
      </c>
      <c r="P242" s="8">
        <f t="shared" ref="P242" si="48">M242*K242*J242</f>
        <v>158.99519999999998</v>
      </c>
      <c r="Q242" s="8">
        <f t="shared" ref="Q242" si="49">N242*K242*J242</f>
        <v>227.136</v>
      </c>
      <c r="R242" s="8">
        <f t="shared" ref="R242" si="50">O242*K242*J242</f>
        <v>295.27679999999998</v>
      </c>
    </row>
    <row r="243" spans="1:18" ht="48" x14ac:dyDescent="0.2">
      <c r="A243" s="9" t="s">
        <v>10</v>
      </c>
      <c r="B243" s="10" t="s">
        <v>383</v>
      </c>
      <c r="C243" s="8">
        <v>5</v>
      </c>
      <c r="D243" s="11" t="s">
        <v>34</v>
      </c>
      <c r="E243" s="12">
        <v>31.9</v>
      </c>
      <c r="F243" s="12">
        <v>159.5</v>
      </c>
      <c r="G243" s="8">
        <v>24</v>
      </c>
      <c r="H243" s="8">
        <v>38</v>
      </c>
      <c r="I243" s="8">
        <v>49</v>
      </c>
    </row>
    <row r="244" spans="1:18" ht="32" x14ac:dyDescent="0.2">
      <c r="A244" s="9" t="s">
        <v>11</v>
      </c>
      <c r="B244" s="10" t="s">
        <v>384</v>
      </c>
      <c r="C244" s="8">
        <v>1</v>
      </c>
      <c r="D244" s="11" t="s">
        <v>7</v>
      </c>
      <c r="E244" s="12">
        <v>1000</v>
      </c>
      <c r="F244" s="12">
        <v>1000</v>
      </c>
      <c r="G244" s="8">
        <v>24</v>
      </c>
      <c r="H244" s="8">
        <v>38</v>
      </c>
      <c r="I244" s="8">
        <v>49</v>
      </c>
    </row>
    <row r="245" spans="1:18" ht="96" x14ac:dyDescent="0.2">
      <c r="A245" s="9" t="s">
        <v>12</v>
      </c>
      <c r="B245" s="10" t="s">
        <v>385</v>
      </c>
      <c r="C245" s="8">
        <v>2</v>
      </c>
      <c r="D245" s="11" t="s">
        <v>36</v>
      </c>
      <c r="E245" s="12">
        <v>800</v>
      </c>
      <c r="F245" s="12">
        <v>1600</v>
      </c>
      <c r="G245" s="8">
        <v>24</v>
      </c>
      <c r="H245" s="8">
        <v>37</v>
      </c>
      <c r="I245" s="8">
        <v>48</v>
      </c>
    </row>
    <row r="246" spans="1:18" ht="96" x14ac:dyDescent="0.2">
      <c r="A246" s="9" t="s">
        <v>13</v>
      </c>
      <c r="B246" s="10" t="s">
        <v>386</v>
      </c>
      <c r="C246" s="8">
        <v>1</v>
      </c>
      <c r="D246" s="11" t="s">
        <v>36</v>
      </c>
      <c r="E246" s="12">
        <v>609.95000000000005</v>
      </c>
      <c r="F246" s="12">
        <v>609.95000000000005</v>
      </c>
      <c r="G246" s="8">
        <v>24</v>
      </c>
      <c r="H246" s="8">
        <v>37</v>
      </c>
      <c r="I246" s="8">
        <v>48</v>
      </c>
    </row>
    <row r="247" spans="1:18" ht="96" x14ac:dyDescent="0.2">
      <c r="A247" s="9" t="s">
        <v>14</v>
      </c>
      <c r="B247" s="10" t="s">
        <v>387</v>
      </c>
      <c r="C247" s="8">
        <v>2</v>
      </c>
      <c r="D247" s="11" t="s">
        <v>36</v>
      </c>
      <c r="E247" s="12">
        <v>609.95000000000005</v>
      </c>
      <c r="F247" s="12">
        <v>1219.9000000000001</v>
      </c>
      <c r="G247" s="8">
        <v>24</v>
      </c>
      <c r="H247" s="8">
        <v>37</v>
      </c>
      <c r="I247" s="8">
        <v>48</v>
      </c>
    </row>
    <row r="248" spans="1:18" ht="96" x14ac:dyDescent="0.2">
      <c r="A248" s="9" t="s">
        <v>15</v>
      </c>
      <c r="B248" s="10" t="s">
        <v>388</v>
      </c>
      <c r="C248" s="8">
        <v>1</v>
      </c>
      <c r="D248" s="11" t="s">
        <v>36</v>
      </c>
      <c r="E248" s="12">
        <v>609.95000000000005</v>
      </c>
      <c r="F248" s="12">
        <v>609.95000000000005</v>
      </c>
      <c r="G248" s="8">
        <v>24</v>
      </c>
      <c r="H248" s="8">
        <v>37</v>
      </c>
      <c r="I248" s="8">
        <v>48</v>
      </c>
    </row>
    <row r="249" spans="1:18" ht="32" x14ac:dyDescent="0.2">
      <c r="A249" s="9" t="s">
        <v>6</v>
      </c>
      <c r="B249" s="10" t="s">
        <v>389</v>
      </c>
      <c r="C249" s="8">
        <v>109</v>
      </c>
      <c r="D249" s="11" t="s">
        <v>35</v>
      </c>
      <c r="E249" s="12">
        <v>65.989999999999995</v>
      </c>
      <c r="F249" s="12">
        <v>7192.91</v>
      </c>
      <c r="G249" s="8">
        <v>17</v>
      </c>
      <c r="H249" s="8">
        <v>29</v>
      </c>
      <c r="I249" s="8">
        <v>42</v>
      </c>
      <c r="J249" s="8">
        <f>C249*0.008</f>
        <v>0.872</v>
      </c>
      <c r="K249" s="8">
        <v>1300</v>
      </c>
      <c r="M249" s="8">
        <f>N249*0.7</f>
        <v>7.2799999999999994</v>
      </c>
      <c r="N249" s="8">
        <v>10.4</v>
      </c>
      <c r="O249" s="8">
        <f>N249*1.3</f>
        <v>13.520000000000001</v>
      </c>
      <c r="P249" s="8">
        <f>M249*K249*J249</f>
        <v>8252.6080000000002</v>
      </c>
      <c r="Q249" s="8">
        <f>N249*K249*J249</f>
        <v>11789.44</v>
      </c>
      <c r="R249" s="8">
        <f>O249*K249*J249</f>
        <v>15326.272000000001</v>
      </c>
    </row>
    <row r="250" spans="1:18" ht="32" x14ac:dyDescent="0.2">
      <c r="A250" s="9" t="s">
        <v>9</v>
      </c>
      <c r="B250" s="10" t="s">
        <v>390</v>
      </c>
      <c r="C250" s="8">
        <v>32</v>
      </c>
      <c r="D250" s="11" t="s">
        <v>34</v>
      </c>
      <c r="E250" s="12">
        <v>34.299999999999997</v>
      </c>
      <c r="F250" s="12">
        <v>1097.5999999999999</v>
      </c>
      <c r="G250" s="8">
        <v>17</v>
      </c>
      <c r="H250" s="8">
        <v>29</v>
      </c>
      <c r="I250" s="8">
        <v>42</v>
      </c>
      <c r="J250" s="8">
        <f>C250*0.008</f>
        <v>0.25600000000000001</v>
      </c>
      <c r="K250" s="8">
        <v>1300</v>
      </c>
      <c r="M250" s="8">
        <f>N250*0.7</f>
        <v>7.2799999999999994</v>
      </c>
      <c r="N250" s="8">
        <v>10.4</v>
      </c>
      <c r="O250" s="8">
        <f>N250*1.3</f>
        <v>13.520000000000001</v>
      </c>
      <c r="P250" s="8">
        <f t="shared" ref="P250:P251" si="51">M250*K250*J250</f>
        <v>2422.7840000000001</v>
      </c>
      <c r="Q250" s="8">
        <f t="shared" ref="Q250:Q251" si="52">N250*K250*J250</f>
        <v>3461.12</v>
      </c>
      <c r="R250" s="8">
        <f t="shared" ref="R250:R251" si="53">O250*K250*J250</f>
        <v>4499.4560000000001</v>
      </c>
    </row>
    <row r="251" spans="1:18" ht="48" x14ac:dyDescent="0.2">
      <c r="A251" s="9" t="s">
        <v>10</v>
      </c>
      <c r="B251" s="10" t="s">
        <v>391</v>
      </c>
      <c r="C251" s="8">
        <v>9</v>
      </c>
      <c r="D251" s="11" t="s">
        <v>35</v>
      </c>
      <c r="E251" s="12">
        <v>78.66</v>
      </c>
      <c r="F251" s="12">
        <v>707.94</v>
      </c>
      <c r="G251" s="8">
        <v>17</v>
      </c>
      <c r="H251" s="8">
        <v>29</v>
      </c>
      <c r="I251" s="8">
        <v>42</v>
      </c>
      <c r="J251" s="8">
        <f>9*0.008</f>
        <v>7.2000000000000008E-2</v>
      </c>
      <c r="K251" s="8">
        <v>1300</v>
      </c>
      <c r="M251" s="8">
        <f>N251*0.7</f>
        <v>7.2799999999999994</v>
      </c>
      <c r="N251" s="8">
        <v>10.4</v>
      </c>
      <c r="O251" s="8">
        <f>N251*1.3</f>
        <v>13.520000000000001</v>
      </c>
      <c r="P251" s="8">
        <f t="shared" si="51"/>
        <v>681.40800000000013</v>
      </c>
      <c r="Q251" s="8">
        <f t="shared" si="52"/>
        <v>973.44000000000017</v>
      </c>
      <c r="R251" s="8">
        <f t="shared" si="53"/>
        <v>1265.4720000000002</v>
      </c>
    </row>
    <row r="252" spans="1:18" ht="32" x14ac:dyDescent="0.2">
      <c r="A252" s="9" t="s">
        <v>11</v>
      </c>
      <c r="B252" s="10" t="s">
        <v>392</v>
      </c>
      <c r="C252" s="8">
        <v>22</v>
      </c>
      <c r="D252" s="11" t="s">
        <v>34</v>
      </c>
      <c r="E252" s="12">
        <v>17.09</v>
      </c>
      <c r="F252" s="12">
        <v>375.98</v>
      </c>
      <c r="G252" s="8">
        <v>17</v>
      </c>
      <c r="H252" s="8">
        <v>29</v>
      </c>
      <c r="I252" s="8">
        <v>42</v>
      </c>
      <c r="J252" s="8">
        <f>0.3*0.008*22</f>
        <v>5.2799999999999993E-2</v>
      </c>
      <c r="K252" s="8">
        <v>1300</v>
      </c>
      <c r="M252" s="8">
        <v>7.28</v>
      </c>
      <c r="N252" s="8">
        <v>10.4</v>
      </c>
      <c r="O252" s="8">
        <v>13.52</v>
      </c>
      <c r="P252" s="8">
        <f>M252*K252*J252</f>
        <v>499.69919999999991</v>
      </c>
      <c r="Q252" s="8">
        <f>N252*K252*J252</f>
        <v>713.85599999999988</v>
      </c>
      <c r="R252" s="8">
        <f>O252*K252*J252</f>
        <v>928.01279999999986</v>
      </c>
    </row>
    <row r="253" spans="1:18" ht="32" x14ac:dyDescent="0.2">
      <c r="A253" s="9" t="s">
        <v>12</v>
      </c>
      <c r="B253" s="10" t="s">
        <v>393</v>
      </c>
      <c r="C253" s="8">
        <v>59</v>
      </c>
      <c r="D253" s="11" t="s">
        <v>34</v>
      </c>
      <c r="E253" s="12">
        <v>13.59</v>
      </c>
      <c r="F253" s="12">
        <v>801.81</v>
      </c>
      <c r="G253" s="8">
        <v>17</v>
      </c>
      <c r="H253" s="8">
        <v>29</v>
      </c>
      <c r="I253" s="8">
        <v>42</v>
      </c>
    </row>
    <row r="254" spans="1:18" ht="32" x14ac:dyDescent="0.2">
      <c r="A254" s="9" t="s">
        <v>13</v>
      </c>
      <c r="B254" s="10" t="s">
        <v>394</v>
      </c>
      <c r="C254" s="8">
        <v>48</v>
      </c>
      <c r="D254" s="11" t="s">
        <v>34</v>
      </c>
      <c r="E254" s="12">
        <v>13.59</v>
      </c>
      <c r="F254" s="12">
        <v>652.32000000000005</v>
      </c>
      <c r="G254" s="8">
        <v>17</v>
      </c>
      <c r="H254" s="8">
        <v>29</v>
      </c>
      <c r="I254" s="8">
        <v>42</v>
      </c>
    </row>
    <row r="255" spans="1:18" ht="16" x14ac:dyDescent="0.2">
      <c r="A255" s="9" t="s">
        <v>14</v>
      </c>
      <c r="B255" s="10" t="s">
        <v>396</v>
      </c>
      <c r="C255" s="8">
        <v>1</v>
      </c>
      <c r="D255" s="11" t="s">
        <v>7</v>
      </c>
      <c r="E255" s="12">
        <v>100</v>
      </c>
      <c r="F255" s="12">
        <v>100</v>
      </c>
      <c r="G255" s="8">
        <v>17</v>
      </c>
      <c r="H255" s="8">
        <v>29</v>
      </c>
      <c r="I255" s="8">
        <v>42</v>
      </c>
    </row>
    <row r="256" spans="1:18" ht="32" x14ac:dyDescent="0.2">
      <c r="A256" s="9" t="s">
        <v>15</v>
      </c>
      <c r="B256" s="10" t="s">
        <v>395</v>
      </c>
      <c r="C256" s="8">
        <v>20</v>
      </c>
      <c r="D256" s="11" t="s">
        <v>34</v>
      </c>
      <c r="E256" s="12">
        <v>4</v>
      </c>
      <c r="F256" s="12">
        <v>80</v>
      </c>
      <c r="G256" s="8">
        <v>17</v>
      </c>
      <c r="H256" s="8">
        <v>29</v>
      </c>
      <c r="I256" s="8">
        <v>42</v>
      </c>
    </row>
    <row r="257" spans="1:18" ht="64" x14ac:dyDescent="0.2">
      <c r="A257" s="9" t="s">
        <v>16</v>
      </c>
      <c r="B257" s="10" t="s">
        <v>397</v>
      </c>
      <c r="C257" s="8">
        <v>21</v>
      </c>
      <c r="D257" s="11" t="s">
        <v>35</v>
      </c>
      <c r="E257" s="12">
        <v>65.790000000000006</v>
      </c>
      <c r="F257" s="12">
        <v>1381.59</v>
      </c>
      <c r="G257" s="8">
        <v>17</v>
      </c>
      <c r="H257" s="8">
        <v>29</v>
      </c>
      <c r="I257" s="8">
        <v>42</v>
      </c>
      <c r="J257" s="8">
        <f>C257*0.019</f>
        <v>0.39899999999999997</v>
      </c>
      <c r="K257" s="8">
        <v>480</v>
      </c>
      <c r="M257" s="8">
        <v>0.72</v>
      </c>
      <c r="N257" s="8">
        <v>7.11</v>
      </c>
      <c r="O257" s="8">
        <v>21.3</v>
      </c>
      <c r="P257" s="8">
        <f>J257*K257*M257</f>
        <v>137.89439999999999</v>
      </c>
      <c r="Q257" s="8">
        <f>N257*K257*J257</f>
        <v>1361.7072000000001</v>
      </c>
      <c r="R257" s="8">
        <f>O257*K257*J257</f>
        <v>4079.3759999999997</v>
      </c>
    </row>
    <row r="258" spans="1:18" ht="48" x14ac:dyDescent="0.2">
      <c r="A258" s="9" t="s">
        <v>17</v>
      </c>
      <c r="B258" s="10" t="s">
        <v>398</v>
      </c>
      <c r="C258" s="8">
        <v>13</v>
      </c>
      <c r="D258" s="11" t="s">
        <v>34</v>
      </c>
      <c r="E258" s="12">
        <v>20.3</v>
      </c>
      <c r="F258" s="12">
        <v>263.89999999999998</v>
      </c>
      <c r="G258" s="8">
        <v>17</v>
      </c>
      <c r="H258" s="8">
        <v>29</v>
      </c>
      <c r="I258" s="8">
        <v>42</v>
      </c>
      <c r="J258" s="8">
        <f>0.3*0.008*13</f>
        <v>3.1199999999999999E-2</v>
      </c>
      <c r="K258" s="8">
        <v>480</v>
      </c>
      <c r="M258" s="8">
        <v>0.72</v>
      </c>
      <c r="N258" s="8">
        <v>7.11</v>
      </c>
      <c r="O258" s="8">
        <v>21.3</v>
      </c>
      <c r="P258" s="8">
        <f>M258*K258*J258</f>
        <v>10.782719999999998</v>
      </c>
      <c r="Q258" s="8">
        <f>N258*K258*J258</f>
        <v>106.47936</v>
      </c>
      <c r="R258" s="8">
        <f>O258*K258*J258</f>
        <v>318.98879999999997</v>
      </c>
    </row>
    <row r="259" spans="1:18" ht="32" x14ac:dyDescent="0.2">
      <c r="A259" s="9" t="s">
        <v>18</v>
      </c>
      <c r="B259" s="10" t="s">
        <v>399</v>
      </c>
      <c r="C259" s="8">
        <v>8</v>
      </c>
      <c r="D259" s="11" t="s">
        <v>34</v>
      </c>
      <c r="E259" s="12">
        <v>7.84</v>
      </c>
      <c r="F259" s="12">
        <v>62.72</v>
      </c>
      <c r="G259" s="8">
        <v>17</v>
      </c>
      <c r="H259" s="8">
        <v>29</v>
      </c>
      <c r="I259" s="8">
        <v>42</v>
      </c>
    </row>
    <row r="260" spans="1:18" ht="32" x14ac:dyDescent="0.2">
      <c r="A260" s="9" t="s">
        <v>19</v>
      </c>
      <c r="B260" s="10" t="s">
        <v>400</v>
      </c>
      <c r="C260" s="8">
        <v>6</v>
      </c>
      <c r="D260" s="11" t="s">
        <v>34</v>
      </c>
      <c r="E260" s="12">
        <v>4.84</v>
      </c>
      <c r="F260" s="12">
        <v>29.04</v>
      </c>
      <c r="G260" s="8">
        <v>17</v>
      </c>
      <c r="H260" s="8">
        <v>29</v>
      </c>
      <c r="I260" s="8">
        <v>42</v>
      </c>
    </row>
    <row r="261" spans="1:18" ht="64" x14ac:dyDescent="0.2">
      <c r="A261" s="9" t="s">
        <v>20</v>
      </c>
      <c r="B261" s="10" t="s">
        <v>401</v>
      </c>
      <c r="C261" s="8">
        <v>44</v>
      </c>
      <c r="D261" s="11" t="s">
        <v>35</v>
      </c>
      <c r="E261" s="12">
        <v>65.790000000000006</v>
      </c>
      <c r="F261" s="12">
        <v>2894.76</v>
      </c>
      <c r="G261" s="8">
        <v>17</v>
      </c>
      <c r="H261" s="8">
        <v>29</v>
      </c>
      <c r="I261" s="8">
        <v>42</v>
      </c>
      <c r="J261" s="8">
        <f>C261*0.019</f>
        <v>0.83599999999999997</v>
      </c>
      <c r="K261" s="8">
        <v>480</v>
      </c>
      <c r="M261" s="8">
        <v>0.72</v>
      </c>
      <c r="N261" s="8">
        <v>7.11</v>
      </c>
      <c r="O261" s="8">
        <v>21.3</v>
      </c>
      <c r="P261" s="8">
        <f>M261*K261*J261</f>
        <v>288.92159999999996</v>
      </c>
      <c r="Q261" s="8">
        <f>N261*K261*J261</f>
        <v>2853.1008000000002</v>
      </c>
      <c r="R261" s="8">
        <f>O261*K261*J261</f>
        <v>8547.2639999999992</v>
      </c>
    </row>
    <row r="262" spans="1:18" ht="48" x14ac:dyDescent="0.2">
      <c r="A262" s="9" t="s">
        <v>6</v>
      </c>
      <c r="B262" s="10" t="s">
        <v>402</v>
      </c>
      <c r="C262" s="8">
        <v>5</v>
      </c>
      <c r="D262" s="11" t="s">
        <v>34</v>
      </c>
      <c r="E262" s="12">
        <v>13.09</v>
      </c>
      <c r="F262" s="12">
        <v>65.45</v>
      </c>
      <c r="G262" s="8">
        <v>17</v>
      </c>
      <c r="H262" s="8">
        <v>29</v>
      </c>
      <c r="I262" s="8">
        <v>42</v>
      </c>
      <c r="J262" s="8">
        <f>0.3*0.008*5</f>
        <v>1.1999999999999999E-2</v>
      </c>
      <c r="K262" s="8">
        <v>480</v>
      </c>
      <c r="M262" s="8">
        <v>0.72</v>
      </c>
      <c r="N262" s="8">
        <v>7.11</v>
      </c>
      <c r="O262" s="8">
        <v>21.3</v>
      </c>
      <c r="P262" s="8">
        <f>M262*K262*J262</f>
        <v>4.1471999999999989</v>
      </c>
      <c r="Q262" s="8">
        <f>N262*K262*J262</f>
        <v>40.953599999999994</v>
      </c>
      <c r="R262" s="8">
        <f>O262*K262*J262</f>
        <v>122.68799999999999</v>
      </c>
    </row>
    <row r="263" spans="1:18" ht="48" x14ac:dyDescent="0.2">
      <c r="A263" s="9" t="s">
        <v>9</v>
      </c>
      <c r="B263" s="10" t="s">
        <v>403</v>
      </c>
      <c r="C263" s="8">
        <v>5</v>
      </c>
      <c r="D263" s="11" t="s">
        <v>34</v>
      </c>
      <c r="E263" s="12">
        <v>13.09</v>
      </c>
      <c r="F263" s="12">
        <v>65.45</v>
      </c>
      <c r="G263" s="8">
        <v>17</v>
      </c>
      <c r="H263" s="8">
        <v>29</v>
      </c>
      <c r="I263" s="8">
        <v>42</v>
      </c>
      <c r="J263" s="8">
        <f>0.012</f>
        <v>1.2E-2</v>
      </c>
      <c r="K263" s="8">
        <v>480</v>
      </c>
      <c r="M263" s="8">
        <v>0.72</v>
      </c>
      <c r="N263" s="8">
        <v>7.11</v>
      </c>
      <c r="O263" s="8">
        <v>21.3</v>
      </c>
      <c r="P263" s="8">
        <f t="shared" ref="P263:P264" si="54">M263*K263*J263</f>
        <v>4.1471999999999998</v>
      </c>
      <c r="Q263" s="8">
        <f t="shared" ref="Q263:Q264" si="55">N263*K263*J263</f>
        <v>40.953600000000002</v>
      </c>
      <c r="R263" s="8">
        <f t="shared" ref="R263:R264" si="56">O263*K263*J263</f>
        <v>122.688</v>
      </c>
    </row>
    <row r="264" spans="1:18" ht="32" x14ac:dyDescent="0.2">
      <c r="A264" s="9" t="s">
        <v>10</v>
      </c>
      <c r="B264" s="10" t="s">
        <v>404</v>
      </c>
      <c r="C264" s="8">
        <v>20</v>
      </c>
      <c r="D264" s="11" t="s">
        <v>34</v>
      </c>
      <c r="E264" s="12">
        <v>13.09</v>
      </c>
      <c r="F264" s="12">
        <v>261.8</v>
      </c>
      <c r="G264" s="8">
        <v>17</v>
      </c>
      <c r="H264" s="8">
        <v>29</v>
      </c>
      <c r="I264" s="8">
        <v>42</v>
      </c>
      <c r="J264" s="8">
        <f>0.3*0.008*20</f>
        <v>4.7999999999999994E-2</v>
      </c>
      <c r="K264" s="8">
        <v>480</v>
      </c>
      <c r="M264" s="8">
        <v>0.72</v>
      </c>
      <c r="N264" s="8">
        <v>7.11</v>
      </c>
      <c r="O264" s="8">
        <v>21.3</v>
      </c>
      <c r="P264" s="8">
        <f t="shared" si="54"/>
        <v>16.588799999999996</v>
      </c>
      <c r="Q264" s="8">
        <f t="shared" si="55"/>
        <v>163.81439999999998</v>
      </c>
      <c r="R264" s="8">
        <f t="shared" si="56"/>
        <v>490.75199999999995</v>
      </c>
    </row>
    <row r="265" spans="1:18" ht="64" x14ac:dyDescent="0.2">
      <c r="A265" s="9" t="s">
        <v>11</v>
      </c>
      <c r="B265" s="10" t="s">
        <v>405</v>
      </c>
      <c r="C265" s="8">
        <v>1</v>
      </c>
      <c r="D265" s="11" t="s">
        <v>36</v>
      </c>
      <c r="E265" s="12">
        <v>2149.31</v>
      </c>
      <c r="F265" s="12">
        <v>2149.31</v>
      </c>
      <c r="G265" s="8">
        <v>15</v>
      </c>
      <c r="H265" s="8">
        <v>20</v>
      </c>
      <c r="I265" s="8">
        <v>25</v>
      </c>
      <c r="J265" s="8">
        <f>2.71*3.14*0.024*0.024</f>
        <v>4.9014143999999999E-3</v>
      </c>
      <c r="K265" s="8">
        <v>8000</v>
      </c>
      <c r="M265" s="8">
        <v>40.200000000000003</v>
      </c>
      <c r="N265" s="8">
        <v>48.36</v>
      </c>
      <c r="O265" s="8">
        <v>51.48</v>
      </c>
      <c r="P265" s="8">
        <f>M265*K265*J265</f>
        <v>1576.2948710399999</v>
      </c>
      <c r="Q265" s="8">
        <f>N265*K265*J265</f>
        <v>1896.259203072</v>
      </c>
      <c r="R265" s="8">
        <f>O265*K265*J265</f>
        <v>2018.598506496</v>
      </c>
    </row>
    <row r="266" spans="1:18" ht="64" x14ac:dyDescent="0.2">
      <c r="A266" s="9" t="s">
        <v>12</v>
      </c>
      <c r="B266" s="10" t="s">
        <v>406</v>
      </c>
      <c r="C266" s="8">
        <v>6</v>
      </c>
      <c r="D266" s="11" t="s">
        <v>34</v>
      </c>
      <c r="E266" s="12">
        <v>607.95000000000005</v>
      </c>
      <c r="F266" s="12">
        <v>3647.7</v>
      </c>
      <c r="G266" s="8">
        <v>15</v>
      </c>
      <c r="H266" s="8">
        <v>20</v>
      </c>
      <c r="I266" s="8">
        <v>25</v>
      </c>
      <c r="J266" s="8">
        <f>3.14*0.024*0.024*6</f>
        <v>1.0851840000000001E-2</v>
      </c>
      <c r="K266" s="8">
        <v>8000</v>
      </c>
      <c r="M266" s="8">
        <v>40.200000000000003</v>
      </c>
      <c r="N266" s="8">
        <v>48.36</v>
      </c>
      <c r="O266" s="8">
        <v>51.48</v>
      </c>
      <c r="P266" s="8">
        <f t="shared" ref="P266:P268" si="57">M266*K266*J266</f>
        <v>3489.9517440000004</v>
      </c>
      <c r="Q266" s="8">
        <f t="shared" ref="Q266:Q268" si="58">N266*K266*J266</f>
        <v>4198.3598592000008</v>
      </c>
      <c r="R266" s="8">
        <f t="shared" ref="R266:R268" si="59">O266*K266*J266</f>
        <v>4469.2217856000007</v>
      </c>
    </row>
    <row r="267" spans="1:18" ht="64" x14ac:dyDescent="0.2">
      <c r="A267" s="9" t="s">
        <v>13</v>
      </c>
      <c r="B267" s="10" t="s">
        <v>407</v>
      </c>
      <c r="C267" s="8">
        <v>17</v>
      </c>
      <c r="D267" s="11" t="s">
        <v>34</v>
      </c>
      <c r="E267" s="12">
        <v>623.25</v>
      </c>
      <c r="F267" s="12">
        <v>10595.25</v>
      </c>
      <c r="G267" s="8">
        <v>15</v>
      </c>
      <c r="H267" s="8">
        <v>20</v>
      </c>
      <c r="I267" s="8">
        <v>25</v>
      </c>
      <c r="J267" s="8">
        <f>3.14*0.24*0.24*17</f>
        <v>3.0746880000000001</v>
      </c>
      <c r="K267" s="8">
        <v>8000</v>
      </c>
      <c r="M267" s="8">
        <v>40.200000000000003</v>
      </c>
      <c r="N267" s="8">
        <v>48.36</v>
      </c>
      <c r="O267" s="8">
        <v>51.48</v>
      </c>
      <c r="P267" s="8">
        <f t="shared" si="57"/>
        <v>988819.66080000007</v>
      </c>
      <c r="Q267" s="8">
        <f t="shared" si="58"/>
        <v>1189535.2934399999</v>
      </c>
      <c r="R267" s="8">
        <f t="shared" si="59"/>
        <v>1266279.5059200001</v>
      </c>
    </row>
    <row r="268" spans="1:18" ht="64" x14ac:dyDescent="0.2">
      <c r="A268" s="9" t="s">
        <v>14</v>
      </c>
      <c r="B268" s="10" t="s">
        <v>408</v>
      </c>
      <c r="C268" s="8">
        <v>3</v>
      </c>
      <c r="D268" s="11" t="s">
        <v>34</v>
      </c>
      <c r="E268" s="12">
        <v>1001.89</v>
      </c>
      <c r="F268" s="12">
        <v>3005.67</v>
      </c>
      <c r="G268" s="8">
        <v>15</v>
      </c>
      <c r="H268" s="8">
        <v>20</v>
      </c>
      <c r="I268" s="8">
        <v>25</v>
      </c>
      <c r="J268" s="8">
        <f>3.14*0.24*0.24*3</f>
        <v>0.54259199999999996</v>
      </c>
      <c r="K268" s="8">
        <v>8000</v>
      </c>
      <c r="M268" s="13">
        <v>40.200000000000003</v>
      </c>
      <c r="N268" s="13">
        <v>48.36</v>
      </c>
      <c r="O268" s="13">
        <v>51.48</v>
      </c>
      <c r="P268" s="8">
        <f t="shared" si="57"/>
        <v>174497.58719999998</v>
      </c>
      <c r="Q268" s="8">
        <f t="shared" si="58"/>
        <v>209917.99295999997</v>
      </c>
      <c r="R268" s="8">
        <f t="shared" si="59"/>
        <v>223461.08927999999</v>
      </c>
    </row>
    <row r="269" spans="1:18" ht="64" x14ac:dyDescent="0.2">
      <c r="A269" s="9" t="s">
        <v>15</v>
      </c>
      <c r="B269" s="10" t="s">
        <v>409</v>
      </c>
      <c r="C269" s="8">
        <v>5</v>
      </c>
      <c r="D269" s="11" t="s">
        <v>36</v>
      </c>
      <c r="E269" s="12">
        <v>95.91</v>
      </c>
      <c r="F269" s="12">
        <v>479.55</v>
      </c>
      <c r="G269" s="8">
        <v>15</v>
      </c>
      <c r="H269" s="8">
        <v>20</v>
      </c>
      <c r="I269" s="8">
        <v>25</v>
      </c>
    </row>
    <row r="270" spans="1:18" ht="48" x14ac:dyDescent="0.2">
      <c r="A270" s="9" t="s">
        <v>16</v>
      </c>
      <c r="B270" s="10" t="s">
        <v>410</v>
      </c>
      <c r="C270" s="8">
        <v>4</v>
      </c>
      <c r="D270" s="11" t="s">
        <v>36</v>
      </c>
      <c r="E270" s="12">
        <v>95.91</v>
      </c>
      <c r="F270" s="12">
        <v>383.64</v>
      </c>
      <c r="G270" s="8">
        <v>15</v>
      </c>
      <c r="H270" s="8">
        <v>20</v>
      </c>
      <c r="I270" s="8">
        <v>25</v>
      </c>
    </row>
    <row r="271" spans="1:18" ht="48" x14ac:dyDescent="0.2">
      <c r="A271" s="9" t="s">
        <v>17</v>
      </c>
      <c r="B271" s="10" t="s">
        <v>411</v>
      </c>
      <c r="C271" s="8">
        <v>1</v>
      </c>
      <c r="D271" s="11" t="s">
        <v>36</v>
      </c>
      <c r="E271" s="12">
        <v>95.91</v>
      </c>
      <c r="F271" s="12">
        <v>95.91</v>
      </c>
      <c r="G271" s="8">
        <v>15</v>
      </c>
      <c r="H271" s="8">
        <v>20</v>
      </c>
      <c r="I271" s="8">
        <v>25</v>
      </c>
    </row>
    <row r="272" spans="1:18" ht="64" x14ac:dyDescent="0.2">
      <c r="A272" s="9" t="s">
        <v>18</v>
      </c>
      <c r="B272" s="10" t="s">
        <v>412</v>
      </c>
      <c r="C272" s="8">
        <v>24</v>
      </c>
      <c r="D272" s="11" t="s">
        <v>34</v>
      </c>
      <c r="E272" s="12">
        <v>586.86</v>
      </c>
      <c r="F272" s="12">
        <v>14084.64</v>
      </c>
      <c r="G272" s="8">
        <v>15</v>
      </c>
      <c r="H272" s="8">
        <v>20</v>
      </c>
      <c r="I272" s="8">
        <v>25</v>
      </c>
      <c r="J272" s="8">
        <f>3.14*0.24*0.24*24</f>
        <v>4.3407359999999997</v>
      </c>
      <c r="K272" s="8">
        <v>8000</v>
      </c>
      <c r="M272" s="8">
        <v>40.200000000000003</v>
      </c>
      <c r="N272" s="8">
        <v>48.36</v>
      </c>
      <c r="O272" s="8">
        <v>51.48</v>
      </c>
      <c r="P272" s="8">
        <f>M272*K272*J272</f>
        <v>1395980.6975999998</v>
      </c>
      <c r="Q272" s="8">
        <f>N272*K272*J272</f>
        <v>1679343.9436799998</v>
      </c>
      <c r="R272" s="8">
        <f>O272*K272*J272</f>
        <v>1787688.7142399999</v>
      </c>
    </row>
    <row r="273" spans="1:18" ht="64" x14ac:dyDescent="0.2">
      <c r="A273" s="9" t="s">
        <v>19</v>
      </c>
      <c r="B273" s="10" t="s">
        <v>409</v>
      </c>
      <c r="C273" s="8">
        <v>8</v>
      </c>
      <c r="D273" s="11" t="s">
        <v>36</v>
      </c>
      <c r="E273" s="12">
        <v>95.91</v>
      </c>
      <c r="F273" s="12">
        <v>767.28</v>
      </c>
      <c r="G273" s="8">
        <v>15</v>
      </c>
      <c r="H273" s="8">
        <v>20</v>
      </c>
      <c r="I273" s="8">
        <v>25</v>
      </c>
    </row>
    <row r="274" spans="1:18" ht="48" x14ac:dyDescent="0.2">
      <c r="A274" s="9" t="s">
        <v>20</v>
      </c>
      <c r="B274" s="10" t="s">
        <v>413</v>
      </c>
      <c r="C274" s="8">
        <v>8</v>
      </c>
      <c r="D274" s="11" t="s">
        <v>36</v>
      </c>
      <c r="E274" s="12">
        <v>95.91</v>
      </c>
      <c r="F274" s="12">
        <v>767.28</v>
      </c>
      <c r="G274" s="8">
        <v>15</v>
      </c>
      <c r="H274" s="8">
        <v>20</v>
      </c>
      <c r="I274" s="8">
        <v>25</v>
      </c>
    </row>
    <row r="275" spans="1:18" ht="48" x14ac:dyDescent="0.2">
      <c r="A275" s="9" t="s">
        <v>6</v>
      </c>
      <c r="B275" s="10" t="s">
        <v>414</v>
      </c>
      <c r="C275" s="8">
        <v>954</v>
      </c>
      <c r="D275" s="11" t="s">
        <v>35</v>
      </c>
      <c r="E275" s="12">
        <v>26</v>
      </c>
      <c r="F275" s="12">
        <v>24804</v>
      </c>
      <c r="G275" s="8">
        <v>32</v>
      </c>
      <c r="H275" s="8">
        <v>52</v>
      </c>
      <c r="I275" s="8">
        <v>81</v>
      </c>
      <c r="J275" s="8">
        <f>0.01*C275</f>
        <v>9.5400000000000009</v>
      </c>
      <c r="K275" s="8">
        <v>1900</v>
      </c>
      <c r="M275" s="8">
        <v>0.1</v>
      </c>
      <c r="N275" s="8">
        <v>1.54</v>
      </c>
      <c r="O275" s="8">
        <v>3.49</v>
      </c>
      <c r="P275" s="8">
        <f>M275*K275*J275</f>
        <v>1812.6000000000001</v>
      </c>
      <c r="Q275" s="8">
        <f>N275*K275*J275</f>
        <v>27914.040000000005</v>
      </c>
      <c r="R275" s="8">
        <f>O275*K275*J275</f>
        <v>63259.740000000005</v>
      </c>
    </row>
    <row r="276" spans="1:18" ht="48" x14ac:dyDescent="0.2">
      <c r="A276" s="9" t="s">
        <v>9</v>
      </c>
      <c r="B276" s="10" t="s">
        <v>415</v>
      </c>
      <c r="C276" s="8">
        <v>338</v>
      </c>
      <c r="D276" s="11" t="s">
        <v>34</v>
      </c>
      <c r="E276" s="12">
        <v>8</v>
      </c>
      <c r="F276" s="12">
        <v>2704</v>
      </c>
      <c r="G276" s="8">
        <v>32</v>
      </c>
      <c r="H276" s="8">
        <v>52</v>
      </c>
      <c r="I276" s="8">
        <v>81</v>
      </c>
      <c r="J276" s="8">
        <f>0.01*338*0.3</f>
        <v>1.014</v>
      </c>
      <c r="K276" s="8">
        <v>1900</v>
      </c>
      <c r="M276" s="8">
        <v>0.1</v>
      </c>
      <c r="N276" s="8">
        <v>1.54</v>
      </c>
      <c r="O276" s="8">
        <v>3.49</v>
      </c>
      <c r="P276" s="8">
        <f t="shared" ref="P276:P278" si="60">M276*K276*J276</f>
        <v>192.66</v>
      </c>
      <c r="Q276" s="8">
        <f t="shared" ref="Q276:Q278" si="61">N276*K276*J276</f>
        <v>2966.9639999999999</v>
      </c>
      <c r="R276" s="8">
        <f t="shared" ref="R276:R278" si="62">O276*K276*J276</f>
        <v>6723.8339999999998</v>
      </c>
    </row>
    <row r="277" spans="1:18" ht="48" x14ac:dyDescent="0.2">
      <c r="A277" s="9" t="s">
        <v>10</v>
      </c>
      <c r="B277" s="10" t="s">
        <v>416</v>
      </c>
      <c r="C277" s="8">
        <v>80</v>
      </c>
      <c r="D277" s="11" t="s">
        <v>35</v>
      </c>
      <c r="E277" s="12">
        <v>52</v>
      </c>
      <c r="F277" s="12">
        <v>4160</v>
      </c>
      <c r="G277" s="8">
        <v>32</v>
      </c>
      <c r="H277" s="8">
        <v>52</v>
      </c>
      <c r="I277" s="8">
        <v>81</v>
      </c>
      <c r="J277" s="8">
        <f>0.01*80</f>
        <v>0.8</v>
      </c>
      <c r="K277" s="8">
        <v>1900</v>
      </c>
      <c r="M277" s="13">
        <v>0.1</v>
      </c>
      <c r="N277" s="13">
        <v>1.54</v>
      </c>
      <c r="O277" s="13">
        <v>3.49</v>
      </c>
      <c r="P277" s="8">
        <f t="shared" si="60"/>
        <v>152</v>
      </c>
      <c r="Q277" s="8">
        <f t="shared" si="61"/>
        <v>2340.8000000000002</v>
      </c>
      <c r="R277" s="8">
        <f t="shared" si="62"/>
        <v>5304.8</v>
      </c>
    </row>
    <row r="278" spans="1:18" ht="64" x14ac:dyDescent="0.2">
      <c r="A278" s="9" t="s">
        <v>11</v>
      </c>
      <c r="B278" s="10" t="s">
        <v>417</v>
      </c>
      <c r="C278" s="8">
        <v>26</v>
      </c>
      <c r="D278" s="11" t="s">
        <v>34</v>
      </c>
      <c r="E278" s="12">
        <v>10</v>
      </c>
      <c r="F278" s="12">
        <v>260</v>
      </c>
      <c r="G278" s="8">
        <v>32</v>
      </c>
      <c r="H278" s="8">
        <v>52</v>
      </c>
      <c r="I278" s="8">
        <v>81</v>
      </c>
      <c r="J278" s="8">
        <f>0.01*26*0.3</f>
        <v>7.8E-2</v>
      </c>
      <c r="K278" s="8">
        <v>1900</v>
      </c>
      <c r="M278" s="13">
        <v>0.1</v>
      </c>
      <c r="N278" s="13">
        <v>1.54</v>
      </c>
      <c r="O278" s="13">
        <v>3.49</v>
      </c>
      <c r="P278" s="8">
        <f t="shared" si="60"/>
        <v>14.82</v>
      </c>
      <c r="Q278" s="8">
        <f t="shared" si="61"/>
        <v>228.22800000000001</v>
      </c>
      <c r="R278" s="8">
        <f t="shared" si="62"/>
        <v>517.21799999999996</v>
      </c>
    </row>
    <row r="279" spans="1:18" ht="64" x14ac:dyDescent="0.2">
      <c r="A279" s="9" t="s">
        <v>12</v>
      </c>
      <c r="B279" s="10" t="s">
        <v>418</v>
      </c>
      <c r="C279" s="8">
        <v>495</v>
      </c>
      <c r="D279" s="11" t="s">
        <v>34</v>
      </c>
      <c r="E279" s="12">
        <v>1.1499999999999999</v>
      </c>
      <c r="F279" s="12">
        <v>569.25</v>
      </c>
      <c r="G279" s="8">
        <v>32</v>
      </c>
      <c r="H279" s="8">
        <v>52</v>
      </c>
      <c r="I279" s="8">
        <v>81</v>
      </c>
    </row>
    <row r="280" spans="1:18" ht="64" x14ac:dyDescent="0.2">
      <c r="A280" s="9" t="s">
        <v>13</v>
      </c>
      <c r="B280" s="10" t="s">
        <v>419</v>
      </c>
      <c r="C280" s="8">
        <v>230</v>
      </c>
      <c r="D280" s="11" t="s">
        <v>34</v>
      </c>
      <c r="E280" s="12">
        <v>1.1499999999999999</v>
      </c>
      <c r="F280" s="12">
        <v>264.5</v>
      </c>
      <c r="G280" s="8">
        <v>32</v>
      </c>
      <c r="H280" s="8">
        <v>52</v>
      </c>
      <c r="I280" s="8">
        <v>81</v>
      </c>
    </row>
    <row r="281" spans="1:18" ht="176" x14ac:dyDescent="0.2">
      <c r="A281" s="9" t="s">
        <v>12</v>
      </c>
      <c r="B281" s="10" t="s">
        <v>420</v>
      </c>
      <c r="C281" s="8">
        <v>6</v>
      </c>
      <c r="D281" s="11" t="s">
        <v>36</v>
      </c>
      <c r="E281" s="12">
        <v>10004.5</v>
      </c>
      <c r="F281" s="12">
        <v>60027</v>
      </c>
      <c r="G281" s="8">
        <v>22</v>
      </c>
      <c r="H281" s="8">
        <v>34</v>
      </c>
      <c r="I281" s="8">
        <v>45</v>
      </c>
      <c r="J281" s="8">
        <f>0.57*1.2*6</f>
        <v>4.1039999999999992</v>
      </c>
      <c r="K281" s="8">
        <v>30</v>
      </c>
      <c r="L281" s="8" t="s">
        <v>939</v>
      </c>
      <c r="M281" s="8">
        <v>12.3</v>
      </c>
      <c r="N281" s="8">
        <v>16.809999999999999</v>
      </c>
      <c r="O281" s="8">
        <v>25.09</v>
      </c>
      <c r="P281" s="8">
        <f>M281*K281*J281</f>
        <v>1514.3759999999997</v>
      </c>
      <c r="Q281" s="8">
        <f>N281*K281*J281</f>
        <v>2069.6471999999994</v>
      </c>
      <c r="R281" s="8">
        <f>O281*K281*J281</f>
        <v>3089.0807999999997</v>
      </c>
    </row>
    <row r="282" spans="1:18" ht="160" x14ac:dyDescent="0.2">
      <c r="A282" s="9" t="s">
        <v>13</v>
      </c>
      <c r="B282" s="10" t="s">
        <v>421</v>
      </c>
      <c r="C282" s="8">
        <v>1</v>
      </c>
      <c r="D282" s="11" t="s">
        <v>36</v>
      </c>
      <c r="E282" s="12">
        <v>35</v>
      </c>
      <c r="F282" s="12">
        <v>35</v>
      </c>
      <c r="G282" s="8">
        <v>22</v>
      </c>
      <c r="H282" s="8">
        <v>34</v>
      </c>
      <c r="I282" s="8">
        <v>45</v>
      </c>
      <c r="J282" s="8">
        <f>0.685*0.685</f>
        <v>0.46922500000000006</v>
      </c>
      <c r="K282" s="8">
        <v>30</v>
      </c>
      <c r="M282" s="8">
        <v>12.3</v>
      </c>
      <c r="N282" s="8">
        <v>16.809999999999999</v>
      </c>
      <c r="O282" s="8">
        <v>25.09</v>
      </c>
      <c r="P282" s="8">
        <f t="shared" ref="P282:P309" si="63">M282*K282*J282</f>
        <v>173.14402500000003</v>
      </c>
      <c r="Q282" s="8">
        <f t="shared" ref="Q282:Q309" si="64">N282*K282*J282</f>
        <v>236.6301675</v>
      </c>
      <c r="R282" s="8">
        <f t="shared" ref="R282:R309" si="65">O282*K282*J282</f>
        <v>353.18565750000005</v>
      </c>
    </row>
    <row r="283" spans="1:18" ht="176" x14ac:dyDescent="0.2">
      <c r="A283" s="9" t="s">
        <v>14</v>
      </c>
      <c r="B283" s="10" t="s">
        <v>422</v>
      </c>
      <c r="C283" s="8">
        <v>2</v>
      </c>
      <c r="D283" s="11" t="s">
        <v>36</v>
      </c>
      <c r="E283" s="12">
        <v>35</v>
      </c>
      <c r="F283" s="12">
        <v>70</v>
      </c>
      <c r="G283" s="8">
        <v>22</v>
      </c>
      <c r="H283" s="8">
        <v>34</v>
      </c>
      <c r="I283" s="8">
        <v>45</v>
      </c>
      <c r="J283" s="8">
        <f>0.685*0.685*2</f>
        <v>0.93845000000000012</v>
      </c>
      <c r="K283" s="8">
        <v>30</v>
      </c>
      <c r="M283" s="8">
        <v>12.3</v>
      </c>
      <c r="N283" s="8">
        <v>16.809999999999999</v>
      </c>
      <c r="O283" s="8">
        <v>25.09</v>
      </c>
      <c r="P283" s="8">
        <f t="shared" si="63"/>
        <v>346.28805000000006</v>
      </c>
      <c r="Q283" s="8">
        <f t="shared" si="64"/>
        <v>473.260335</v>
      </c>
      <c r="R283" s="8">
        <f t="shared" si="65"/>
        <v>706.3713150000001</v>
      </c>
    </row>
    <row r="284" spans="1:18" ht="176" x14ac:dyDescent="0.2">
      <c r="A284" s="9" t="s">
        <v>6</v>
      </c>
      <c r="B284" s="10" t="s">
        <v>423</v>
      </c>
      <c r="C284" s="8">
        <v>6</v>
      </c>
      <c r="D284" s="11" t="s">
        <v>36</v>
      </c>
      <c r="E284" s="12">
        <v>35</v>
      </c>
      <c r="F284" s="12">
        <v>210</v>
      </c>
      <c r="G284" s="8">
        <v>22</v>
      </c>
      <c r="H284" s="8">
        <v>34</v>
      </c>
      <c r="I284" s="8">
        <v>45</v>
      </c>
      <c r="J284" s="8">
        <f>0.685*1.06*6</f>
        <v>4.3566000000000003</v>
      </c>
      <c r="K284" s="8">
        <v>30</v>
      </c>
      <c r="M284" s="8">
        <v>12.3</v>
      </c>
      <c r="N284" s="8">
        <v>16.809999999999999</v>
      </c>
      <c r="O284" s="8">
        <v>25.09</v>
      </c>
      <c r="P284" s="8">
        <f t="shared" si="63"/>
        <v>1607.5854000000002</v>
      </c>
      <c r="Q284" s="8">
        <f t="shared" si="64"/>
        <v>2197.0333799999999</v>
      </c>
      <c r="R284" s="8">
        <f t="shared" si="65"/>
        <v>3279.2128200000002</v>
      </c>
    </row>
    <row r="285" spans="1:18" ht="176" x14ac:dyDescent="0.2">
      <c r="A285" s="9" t="s">
        <v>9</v>
      </c>
      <c r="B285" s="10" t="s">
        <v>424</v>
      </c>
      <c r="C285" s="8">
        <v>3</v>
      </c>
      <c r="D285" s="11" t="s">
        <v>36</v>
      </c>
      <c r="E285" s="12">
        <v>35</v>
      </c>
      <c r="F285" s="12">
        <v>105</v>
      </c>
      <c r="G285" s="8">
        <v>22</v>
      </c>
      <c r="H285" s="8">
        <v>34</v>
      </c>
      <c r="I285" s="8">
        <v>45</v>
      </c>
      <c r="J285" s="8">
        <f>0.685*1.06*3</f>
        <v>2.1783000000000001</v>
      </c>
      <c r="K285" s="8">
        <v>30</v>
      </c>
      <c r="M285" s="8">
        <v>12.3</v>
      </c>
      <c r="N285" s="8">
        <v>16.809999999999999</v>
      </c>
      <c r="O285" s="8">
        <v>25.09</v>
      </c>
      <c r="P285" s="8">
        <f t="shared" si="63"/>
        <v>803.79270000000008</v>
      </c>
      <c r="Q285" s="8">
        <f t="shared" si="64"/>
        <v>1098.5166899999999</v>
      </c>
      <c r="R285" s="8">
        <f t="shared" si="65"/>
        <v>1639.6064100000001</v>
      </c>
    </row>
    <row r="286" spans="1:18" ht="160" x14ac:dyDescent="0.2">
      <c r="A286" s="9" t="s">
        <v>10</v>
      </c>
      <c r="B286" s="10" t="s">
        <v>425</v>
      </c>
      <c r="C286" s="8">
        <v>1</v>
      </c>
      <c r="D286" s="11" t="s">
        <v>36</v>
      </c>
      <c r="E286" s="12">
        <v>35</v>
      </c>
      <c r="F286" s="12">
        <v>35</v>
      </c>
      <c r="G286" s="8">
        <v>22</v>
      </c>
      <c r="H286" s="8">
        <v>34</v>
      </c>
      <c r="I286" s="8">
        <v>45</v>
      </c>
      <c r="J286" s="8">
        <f>0.685*1.21</f>
        <v>0.82885000000000009</v>
      </c>
      <c r="K286" s="8">
        <v>30</v>
      </c>
      <c r="M286" s="8">
        <v>12.3</v>
      </c>
      <c r="N286" s="8">
        <v>16.809999999999999</v>
      </c>
      <c r="O286" s="8">
        <v>25.09</v>
      </c>
      <c r="P286" s="8">
        <f t="shared" si="63"/>
        <v>305.84565000000003</v>
      </c>
      <c r="Q286" s="8">
        <f t="shared" si="64"/>
        <v>417.98905500000001</v>
      </c>
      <c r="R286" s="8">
        <f t="shared" si="65"/>
        <v>623.87539500000014</v>
      </c>
    </row>
    <row r="287" spans="1:18" ht="176" x14ac:dyDescent="0.2">
      <c r="A287" s="9" t="s">
        <v>11</v>
      </c>
      <c r="B287" s="10" t="s">
        <v>426</v>
      </c>
      <c r="C287" s="8">
        <v>1</v>
      </c>
      <c r="D287" s="11" t="s">
        <v>36</v>
      </c>
      <c r="E287" s="12">
        <v>35</v>
      </c>
      <c r="F287" s="12">
        <v>35</v>
      </c>
      <c r="G287" s="8">
        <v>22</v>
      </c>
      <c r="H287" s="8">
        <v>34</v>
      </c>
      <c r="I287" s="8">
        <v>45</v>
      </c>
      <c r="J287" s="8">
        <f>0.685*1.21</f>
        <v>0.82885000000000009</v>
      </c>
      <c r="K287" s="8">
        <v>30</v>
      </c>
      <c r="M287" s="8">
        <v>12.3</v>
      </c>
      <c r="N287" s="8">
        <v>16.809999999999999</v>
      </c>
      <c r="O287" s="8">
        <v>25.09</v>
      </c>
      <c r="P287" s="8">
        <f t="shared" si="63"/>
        <v>305.84565000000003</v>
      </c>
      <c r="Q287" s="8">
        <f t="shared" si="64"/>
        <v>417.98905500000001</v>
      </c>
      <c r="R287" s="8">
        <f t="shared" si="65"/>
        <v>623.87539500000014</v>
      </c>
    </row>
    <row r="288" spans="1:18" ht="176" x14ac:dyDescent="0.2">
      <c r="A288" s="9" t="s">
        <v>12</v>
      </c>
      <c r="B288" s="10" t="s">
        <v>427</v>
      </c>
      <c r="C288" s="8">
        <v>1</v>
      </c>
      <c r="D288" s="11" t="s">
        <v>36</v>
      </c>
      <c r="E288" s="12">
        <v>35</v>
      </c>
      <c r="F288" s="12">
        <v>35</v>
      </c>
      <c r="G288" s="8">
        <v>22</v>
      </c>
      <c r="H288" s="8">
        <v>34</v>
      </c>
      <c r="I288" s="8">
        <v>45</v>
      </c>
      <c r="J288" s="8">
        <f>0.685*1.21</f>
        <v>0.82885000000000009</v>
      </c>
      <c r="K288" s="8">
        <v>30</v>
      </c>
      <c r="M288" s="8">
        <v>12.3</v>
      </c>
      <c r="N288" s="8">
        <v>16.809999999999999</v>
      </c>
      <c r="O288" s="8">
        <v>25.09</v>
      </c>
      <c r="P288" s="8">
        <f t="shared" si="63"/>
        <v>305.84565000000003</v>
      </c>
      <c r="Q288" s="8">
        <f t="shared" si="64"/>
        <v>417.98905500000001</v>
      </c>
      <c r="R288" s="8">
        <f t="shared" si="65"/>
        <v>623.87539500000014</v>
      </c>
    </row>
    <row r="289" spans="1:18" ht="176" x14ac:dyDescent="0.2">
      <c r="A289" s="9" t="s">
        <v>13</v>
      </c>
      <c r="B289" s="10" t="s">
        <v>428</v>
      </c>
      <c r="C289" s="8">
        <v>1</v>
      </c>
      <c r="D289" s="11" t="s">
        <v>36</v>
      </c>
      <c r="E289" s="12">
        <v>38</v>
      </c>
      <c r="F289" s="12">
        <v>38</v>
      </c>
      <c r="G289" s="8">
        <v>22</v>
      </c>
      <c r="H289" s="8">
        <v>34</v>
      </c>
      <c r="I289" s="8">
        <v>45</v>
      </c>
      <c r="J289" s="8">
        <f>0.685*1.81</f>
        <v>1.2398500000000001</v>
      </c>
      <c r="K289" s="8">
        <v>30</v>
      </c>
      <c r="M289" s="8">
        <v>12.3</v>
      </c>
      <c r="N289" s="8">
        <v>16.809999999999999</v>
      </c>
      <c r="O289" s="8">
        <v>25.09</v>
      </c>
      <c r="P289" s="8">
        <f t="shared" si="63"/>
        <v>457.50465000000003</v>
      </c>
      <c r="Q289" s="8">
        <f t="shared" si="64"/>
        <v>625.25635499999999</v>
      </c>
      <c r="R289" s="8">
        <f t="shared" si="65"/>
        <v>933.23509500000011</v>
      </c>
    </row>
    <row r="290" spans="1:18" ht="176" x14ac:dyDescent="0.2">
      <c r="A290" s="9" t="s">
        <v>14</v>
      </c>
      <c r="B290" s="10" t="s">
        <v>429</v>
      </c>
      <c r="C290" s="8">
        <v>3</v>
      </c>
      <c r="D290" s="11" t="s">
        <v>36</v>
      </c>
      <c r="E290" s="12">
        <v>38</v>
      </c>
      <c r="F290" s="12">
        <v>114</v>
      </c>
      <c r="G290" s="8">
        <v>22</v>
      </c>
      <c r="H290" s="8">
        <v>34</v>
      </c>
      <c r="I290" s="8">
        <v>45</v>
      </c>
      <c r="J290" s="8">
        <f>1.023*1.21*3</f>
        <v>3.7134899999999993</v>
      </c>
      <c r="K290" s="8">
        <v>30</v>
      </c>
      <c r="M290" s="8">
        <v>12.3</v>
      </c>
      <c r="N290" s="8">
        <v>16.809999999999999</v>
      </c>
      <c r="O290" s="8">
        <v>25.09</v>
      </c>
      <c r="P290" s="8">
        <f t="shared" si="63"/>
        <v>1370.2778099999998</v>
      </c>
      <c r="Q290" s="8">
        <f t="shared" si="64"/>
        <v>1872.7130069999994</v>
      </c>
      <c r="R290" s="8">
        <f t="shared" si="65"/>
        <v>2795.1439229999996</v>
      </c>
    </row>
    <row r="291" spans="1:18" ht="176" x14ac:dyDescent="0.2">
      <c r="A291" s="9" t="s">
        <v>15</v>
      </c>
      <c r="B291" s="10" t="s">
        <v>430</v>
      </c>
      <c r="C291" s="8">
        <v>1</v>
      </c>
      <c r="D291" s="11" t="s">
        <v>36</v>
      </c>
      <c r="E291" s="12">
        <v>38</v>
      </c>
      <c r="F291" s="12">
        <v>38</v>
      </c>
      <c r="G291" s="8">
        <v>22</v>
      </c>
      <c r="H291" s="8">
        <v>34</v>
      </c>
      <c r="I291" s="8">
        <v>45</v>
      </c>
      <c r="J291" s="8">
        <f>1.023*1.21</f>
        <v>1.2378299999999998</v>
      </c>
      <c r="K291" s="8">
        <v>30</v>
      </c>
      <c r="M291" s="8">
        <v>12.3</v>
      </c>
      <c r="N291" s="8">
        <v>16.809999999999999</v>
      </c>
      <c r="O291" s="8">
        <v>25.09</v>
      </c>
      <c r="P291" s="8">
        <f t="shared" si="63"/>
        <v>456.7592699999999</v>
      </c>
      <c r="Q291" s="8">
        <f t="shared" si="64"/>
        <v>624.23766899999987</v>
      </c>
      <c r="R291" s="8">
        <f t="shared" si="65"/>
        <v>931.71464099999992</v>
      </c>
    </row>
    <row r="292" spans="1:18" ht="176" x14ac:dyDescent="0.2">
      <c r="A292" s="9" t="s">
        <v>16</v>
      </c>
      <c r="B292" s="10" t="s">
        <v>431</v>
      </c>
      <c r="C292" s="8">
        <v>1</v>
      </c>
      <c r="D292" s="11" t="s">
        <v>36</v>
      </c>
      <c r="E292" s="12">
        <v>38</v>
      </c>
      <c r="F292" s="12">
        <v>38</v>
      </c>
      <c r="G292" s="8">
        <v>22</v>
      </c>
      <c r="H292" s="8">
        <v>34</v>
      </c>
      <c r="I292" s="8">
        <v>45</v>
      </c>
      <c r="J292" s="8">
        <f>1.135*1.06</f>
        <v>1.2031000000000001</v>
      </c>
      <c r="K292" s="8">
        <v>30</v>
      </c>
      <c r="M292" s="8">
        <v>12.3</v>
      </c>
      <c r="N292" s="8">
        <v>16.809999999999999</v>
      </c>
      <c r="O292" s="8">
        <v>25.09</v>
      </c>
      <c r="P292" s="8">
        <f t="shared" si="63"/>
        <v>443.94390000000004</v>
      </c>
      <c r="Q292" s="8">
        <f t="shared" si="64"/>
        <v>606.72332999999992</v>
      </c>
      <c r="R292" s="8">
        <f t="shared" si="65"/>
        <v>905.57337000000007</v>
      </c>
    </row>
    <row r="293" spans="1:18" ht="176" x14ac:dyDescent="0.2">
      <c r="A293" s="9" t="s">
        <v>17</v>
      </c>
      <c r="B293" s="10" t="s">
        <v>432</v>
      </c>
      <c r="C293" s="8">
        <v>3</v>
      </c>
      <c r="D293" s="11" t="s">
        <v>36</v>
      </c>
      <c r="E293" s="12">
        <v>38</v>
      </c>
      <c r="F293" s="12">
        <v>114</v>
      </c>
      <c r="G293" s="8">
        <v>22</v>
      </c>
      <c r="H293" s="8">
        <v>34</v>
      </c>
      <c r="I293" s="8">
        <v>45</v>
      </c>
      <c r="J293" s="8">
        <f>1.135*1.36*3</f>
        <v>4.6308000000000007</v>
      </c>
      <c r="K293" s="8">
        <v>30</v>
      </c>
      <c r="M293" s="8">
        <v>12.3</v>
      </c>
      <c r="N293" s="8">
        <v>16.809999999999999</v>
      </c>
      <c r="O293" s="8">
        <v>25.09</v>
      </c>
      <c r="P293" s="8">
        <f t="shared" si="63"/>
        <v>1708.7652000000003</v>
      </c>
      <c r="Q293" s="8">
        <f t="shared" si="64"/>
        <v>2335.3124400000002</v>
      </c>
      <c r="R293" s="8">
        <f t="shared" si="65"/>
        <v>3485.6031600000006</v>
      </c>
    </row>
    <row r="294" spans="1:18" ht="176" x14ac:dyDescent="0.2">
      <c r="A294" s="9" t="s">
        <v>18</v>
      </c>
      <c r="B294" s="10" t="s">
        <v>433</v>
      </c>
      <c r="C294" s="8">
        <v>1</v>
      </c>
      <c r="D294" s="11" t="s">
        <v>36</v>
      </c>
      <c r="E294" s="12">
        <v>38</v>
      </c>
      <c r="F294" s="12">
        <v>38</v>
      </c>
      <c r="G294" s="8">
        <v>22</v>
      </c>
      <c r="H294" s="8">
        <v>34</v>
      </c>
      <c r="I294" s="8">
        <v>45</v>
      </c>
      <c r="J294" s="8">
        <f>1.135*1.36</f>
        <v>1.5436000000000001</v>
      </c>
      <c r="K294" s="8">
        <v>30</v>
      </c>
      <c r="M294" s="8">
        <v>12.3</v>
      </c>
      <c r="N294" s="8">
        <v>16.809999999999999</v>
      </c>
      <c r="O294" s="8">
        <v>25.09</v>
      </c>
      <c r="P294" s="8">
        <f t="shared" si="63"/>
        <v>569.58839999999998</v>
      </c>
      <c r="Q294" s="8">
        <f t="shared" si="64"/>
        <v>778.43747999999994</v>
      </c>
      <c r="R294" s="8">
        <f t="shared" si="65"/>
        <v>1161.8677200000002</v>
      </c>
    </row>
    <row r="295" spans="1:18" ht="176" x14ac:dyDescent="0.2">
      <c r="A295" s="9" t="s">
        <v>19</v>
      </c>
      <c r="B295" s="10" t="s">
        <v>434</v>
      </c>
      <c r="C295" s="8">
        <v>1</v>
      </c>
      <c r="D295" s="11" t="s">
        <v>36</v>
      </c>
      <c r="E295" s="12">
        <v>38</v>
      </c>
      <c r="F295" s="12">
        <v>38</v>
      </c>
      <c r="G295" s="8">
        <v>22</v>
      </c>
      <c r="H295" s="8">
        <v>34</v>
      </c>
      <c r="I295" s="8">
        <v>45</v>
      </c>
      <c r="J295" s="8">
        <f>1.135*1.66</f>
        <v>1.8840999999999999</v>
      </c>
      <c r="K295" s="8">
        <v>30</v>
      </c>
      <c r="M295" s="8">
        <v>12.3</v>
      </c>
      <c r="N295" s="8">
        <v>16.809999999999999</v>
      </c>
      <c r="O295" s="8">
        <v>25.09</v>
      </c>
      <c r="P295" s="8">
        <f t="shared" si="63"/>
        <v>695.23289999999997</v>
      </c>
      <c r="Q295" s="8">
        <f t="shared" si="64"/>
        <v>950.15162999999984</v>
      </c>
      <c r="R295" s="8">
        <f t="shared" si="65"/>
        <v>1418.1620700000001</v>
      </c>
    </row>
    <row r="296" spans="1:18" ht="176" x14ac:dyDescent="0.2">
      <c r="A296" s="9" t="s">
        <v>20</v>
      </c>
      <c r="B296" s="10" t="s">
        <v>435</v>
      </c>
      <c r="C296" s="8">
        <v>1</v>
      </c>
      <c r="D296" s="11" t="s">
        <v>36</v>
      </c>
      <c r="E296" s="12">
        <v>35</v>
      </c>
      <c r="F296" s="12">
        <v>35</v>
      </c>
      <c r="G296" s="8">
        <v>22</v>
      </c>
      <c r="H296" s="8">
        <v>34</v>
      </c>
      <c r="I296" s="8">
        <v>45</v>
      </c>
      <c r="J296" s="8">
        <f>1.248*0.685</f>
        <v>0.85488000000000008</v>
      </c>
      <c r="K296" s="8">
        <v>30</v>
      </c>
      <c r="M296" s="8">
        <v>12.3</v>
      </c>
      <c r="N296" s="8">
        <v>16.809999999999999</v>
      </c>
      <c r="O296" s="8">
        <v>25.09</v>
      </c>
      <c r="P296" s="8">
        <f t="shared" si="63"/>
        <v>315.45072000000005</v>
      </c>
      <c r="Q296" s="8">
        <f t="shared" si="64"/>
        <v>431.11598400000003</v>
      </c>
      <c r="R296" s="8">
        <f t="shared" si="65"/>
        <v>643.46817600000008</v>
      </c>
    </row>
    <row r="297" spans="1:18" ht="176" x14ac:dyDescent="0.2">
      <c r="A297" s="9" t="s">
        <v>21</v>
      </c>
      <c r="B297" s="10" t="s">
        <v>436</v>
      </c>
      <c r="C297" s="8">
        <v>2</v>
      </c>
      <c r="D297" s="11" t="s">
        <v>36</v>
      </c>
      <c r="E297" s="12">
        <v>38</v>
      </c>
      <c r="F297" s="12">
        <v>76</v>
      </c>
      <c r="G297" s="8">
        <v>22</v>
      </c>
      <c r="H297" s="8">
        <v>34</v>
      </c>
      <c r="I297" s="8">
        <v>45</v>
      </c>
      <c r="J297" s="8">
        <f>1.248*1.21*2</f>
        <v>3.0201599999999997</v>
      </c>
      <c r="K297" s="8">
        <v>30</v>
      </c>
      <c r="L297" s="13"/>
      <c r="M297" s="13">
        <v>12.3</v>
      </c>
      <c r="N297" s="13">
        <v>16.809999999999999</v>
      </c>
      <c r="O297" s="13">
        <v>25.09</v>
      </c>
      <c r="P297" s="8">
        <f t="shared" si="63"/>
        <v>1114.43904</v>
      </c>
      <c r="Q297" s="8">
        <f t="shared" si="64"/>
        <v>1523.0666879999997</v>
      </c>
      <c r="R297" s="8">
        <f t="shared" si="65"/>
        <v>2273.2744320000002</v>
      </c>
    </row>
    <row r="298" spans="1:18" ht="64" x14ac:dyDescent="0.2">
      <c r="A298" s="9" t="s">
        <v>6</v>
      </c>
      <c r="B298" s="10" t="s">
        <v>437</v>
      </c>
      <c r="C298" s="8">
        <v>9</v>
      </c>
      <c r="D298" s="11" t="s">
        <v>36</v>
      </c>
      <c r="E298" s="12">
        <v>38</v>
      </c>
      <c r="F298" s="12">
        <v>342</v>
      </c>
      <c r="G298" s="8">
        <v>22</v>
      </c>
      <c r="H298" s="8">
        <v>34</v>
      </c>
      <c r="I298" s="8">
        <v>45</v>
      </c>
      <c r="J298" s="8">
        <f>1.248*1.21*9</f>
        <v>13.590719999999999</v>
      </c>
      <c r="K298" s="8">
        <v>30</v>
      </c>
      <c r="L298" s="13"/>
      <c r="M298" s="13">
        <v>12.3</v>
      </c>
      <c r="N298" s="13">
        <v>16.809999999999999</v>
      </c>
      <c r="O298" s="13">
        <v>25.09</v>
      </c>
      <c r="P298" s="8">
        <f t="shared" si="63"/>
        <v>5014.9756799999996</v>
      </c>
      <c r="Q298" s="8">
        <f t="shared" si="64"/>
        <v>6853.800095999999</v>
      </c>
      <c r="R298" s="8">
        <f t="shared" si="65"/>
        <v>10229.734944</v>
      </c>
    </row>
    <row r="299" spans="1:18" ht="64" x14ac:dyDescent="0.2">
      <c r="A299" s="9" t="s">
        <v>9</v>
      </c>
      <c r="B299" s="10" t="s">
        <v>438</v>
      </c>
      <c r="C299" s="8">
        <v>6</v>
      </c>
      <c r="D299" s="11" t="s">
        <v>36</v>
      </c>
      <c r="E299" s="12">
        <v>38</v>
      </c>
      <c r="F299" s="12">
        <v>228</v>
      </c>
      <c r="G299" s="8">
        <v>22</v>
      </c>
      <c r="H299" s="8">
        <v>34</v>
      </c>
      <c r="I299" s="8">
        <v>45</v>
      </c>
      <c r="J299" s="8">
        <f>1.248*1.21*6</f>
        <v>9.0604799999999983</v>
      </c>
      <c r="K299" s="8">
        <v>30</v>
      </c>
      <c r="L299" s="13"/>
      <c r="M299" s="13">
        <v>12.3</v>
      </c>
      <c r="N299" s="13">
        <v>16.809999999999999</v>
      </c>
      <c r="O299" s="13">
        <v>25.09</v>
      </c>
      <c r="P299" s="8">
        <f t="shared" si="63"/>
        <v>3343.3171199999992</v>
      </c>
      <c r="Q299" s="8">
        <f t="shared" si="64"/>
        <v>4569.2000639999987</v>
      </c>
      <c r="R299" s="8">
        <f t="shared" si="65"/>
        <v>6819.8232959999996</v>
      </c>
    </row>
    <row r="300" spans="1:18" ht="80" x14ac:dyDescent="0.2">
      <c r="A300" s="9" t="s">
        <v>10</v>
      </c>
      <c r="B300" s="10" t="s">
        <v>439</v>
      </c>
      <c r="C300" s="8">
        <v>8</v>
      </c>
      <c r="D300" s="11" t="s">
        <v>36</v>
      </c>
      <c r="E300" s="12">
        <v>38</v>
      </c>
      <c r="F300" s="12">
        <v>304</v>
      </c>
      <c r="G300" s="8">
        <v>22</v>
      </c>
      <c r="H300" s="8">
        <v>34</v>
      </c>
      <c r="I300" s="8">
        <v>45</v>
      </c>
      <c r="J300" s="8">
        <f>1.248*1.21*8</f>
        <v>12.080639999999999</v>
      </c>
      <c r="K300" s="8">
        <v>30</v>
      </c>
      <c r="L300" s="13"/>
      <c r="M300" s="13">
        <v>12.3</v>
      </c>
      <c r="N300" s="13">
        <v>16.809999999999999</v>
      </c>
      <c r="O300" s="13">
        <v>25.09</v>
      </c>
      <c r="P300" s="8">
        <f t="shared" si="63"/>
        <v>4457.7561599999999</v>
      </c>
      <c r="Q300" s="8">
        <f t="shared" si="64"/>
        <v>6092.2667519999986</v>
      </c>
      <c r="R300" s="8">
        <f t="shared" si="65"/>
        <v>9093.0977280000006</v>
      </c>
    </row>
    <row r="301" spans="1:18" ht="48" x14ac:dyDescent="0.2">
      <c r="A301" s="9" t="s">
        <v>11</v>
      </c>
      <c r="B301" s="10" t="s">
        <v>440</v>
      </c>
      <c r="C301" s="8">
        <v>1</v>
      </c>
      <c r="D301" s="11" t="s">
        <v>36</v>
      </c>
      <c r="E301" s="12">
        <v>38</v>
      </c>
      <c r="F301" s="12">
        <v>38</v>
      </c>
      <c r="G301" s="8">
        <v>22</v>
      </c>
      <c r="H301" s="8">
        <v>34</v>
      </c>
      <c r="I301" s="8">
        <v>45</v>
      </c>
      <c r="J301" s="8">
        <f>1.248*1.21</f>
        <v>1.5100799999999999</v>
      </c>
      <c r="K301" s="8">
        <v>30</v>
      </c>
      <c r="L301" s="13"/>
      <c r="M301" s="13">
        <v>12.3</v>
      </c>
      <c r="N301" s="13">
        <v>16.809999999999999</v>
      </c>
      <c r="O301" s="13">
        <v>25.09</v>
      </c>
      <c r="P301" s="8">
        <f t="shared" si="63"/>
        <v>557.21951999999999</v>
      </c>
      <c r="Q301" s="8">
        <f t="shared" si="64"/>
        <v>761.53334399999983</v>
      </c>
      <c r="R301" s="8">
        <f t="shared" si="65"/>
        <v>1136.6372160000001</v>
      </c>
    </row>
    <row r="302" spans="1:18" ht="64" x14ac:dyDescent="0.2">
      <c r="A302" s="9" t="s">
        <v>12</v>
      </c>
      <c r="B302" s="10" t="s">
        <v>441</v>
      </c>
      <c r="C302" s="8">
        <v>2</v>
      </c>
      <c r="D302" s="11" t="s">
        <v>36</v>
      </c>
      <c r="E302" s="12">
        <v>38</v>
      </c>
      <c r="F302" s="12">
        <v>76</v>
      </c>
      <c r="G302" s="8">
        <v>22</v>
      </c>
      <c r="H302" s="8">
        <v>34</v>
      </c>
      <c r="I302" s="8">
        <v>45</v>
      </c>
      <c r="J302" s="8">
        <f>1.36*1.21*2</f>
        <v>3.2912000000000003</v>
      </c>
      <c r="K302" s="8">
        <v>30</v>
      </c>
      <c r="L302" s="13"/>
      <c r="M302" s="13">
        <v>12.3</v>
      </c>
      <c r="N302" s="13">
        <v>16.809999999999999</v>
      </c>
      <c r="O302" s="13">
        <v>25.09</v>
      </c>
      <c r="P302" s="8">
        <f t="shared" si="63"/>
        <v>1214.4528</v>
      </c>
      <c r="Q302" s="8">
        <f t="shared" si="64"/>
        <v>1659.75216</v>
      </c>
      <c r="R302" s="8">
        <f t="shared" si="65"/>
        <v>2477.2862400000004</v>
      </c>
    </row>
    <row r="303" spans="1:18" ht="48" x14ac:dyDescent="0.2">
      <c r="A303" s="9" t="s">
        <v>13</v>
      </c>
      <c r="B303" s="10" t="s">
        <v>442</v>
      </c>
      <c r="C303" s="8">
        <v>1</v>
      </c>
      <c r="D303" s="11" t="s">
        <v>36</v>
      </c>
      <c r="E303" s="12">
        <v>38</v>
      </c>
      <c r="F303" s="12">
        <v>38</v>
      </c>
      <c r="G303" s="8">
        <v>22</v>
      </c>
      <c r="H303" s="8">
        <v>34</v>
      </c>
      <c r="I303" s="8">
        <v>45</v>
      </c>
      <c r="J303" s="8">
        <f>1.36*1.21</f>
        <v>1.6456000000000002</v>
      </c>
      <c r="K303" s="8">
        <v>30</v>
      </c>
      <c r="L303" s="13"/>
      <c r="M303" s="13">
        <v>12.3</v>
      </c>
      <c r="N303" s="13">
        <v>16.809999999999999</v>
      </c>
      <c r="O303" s="13">
        <v>25.09</v>
      </c>
      <c r="P303" s="8">
        <f t="shared" si="63"/>
        <v>607.22640000000001</v>
      </c>
      <c r="Q303" s="8">
        <f t="shared" si="64"/>
        <v>829.87608</v>
      </c>
      <c r="R303" s="8">
        <f t="shared" si="65"/>
        <v>1238.6431200000002</v>
      </c>
    </row>
    <row r="304" spans="1:18" ht="64" x14ac:dyDescent="0.2">
      <c r="A304" s="9" t="s">
        <v>14</v>
      </c>
      <c r="B304" s="10" t="s">
        <v>443</v>
      </c>
      <c r="C304" s="8">
        <v>1</v>
      </c>
      <c r="D304" s="11" t="s">
        <v>36</v>
      </c>
      <c r="E304" s="12">
        <v>38</v>
      </c>
      <c r="F304" s="12">
        <v>38</v>
      </c>
      <c r="G304" s="8">
        <v>22</v>
      </c>
      <c r="H304" s="8">
        <v>34</v>
      </c>
      <c r="I304" s="8">
        <v>45</v>
      </c>
      <c r="J304" s="8">
        <f>1.698*1.21</f>
        <v>2.0545800000000001</v>
      </c>
      <c r="K304" s="8">
        <v>30</v>
      </c>
      <c r="L304" s="13"/>
      <c r="M304" s="13">
        <v>12.3</v>
      </c>
      <c r="N304" s="13">
        <v>16.809999999999999</v>
      </c>
      <c r="O304" s="13">
        <v>25.09</v>
      </c>
      <c r="P304" s="8">
        <f t="shared" si="63"/>
        <v>758.14002000000005</v>
      </c>
      <c r="Q304" s="8">
        <f t="shared" si="64"/>
        <v>1036.1246939999999</v>
      </c>
      <c r="R304" s="8">
        <f t="shared" si="65"/>
        <v>1546.4823660000002</v>
      </c>
    </row>
    <row r="305" spans="1:18" ht="64" x14ac:dyDescent="0.2">
      <c r="A305" s="9" t="s">
        <v>15</v>
      </c>
      <c r="B305" s="10" t="s">
        <v>444</v>
      </c>
      <c r="C305" s="8">
        <v>1</v>
      </c>
      <c r="D305" s="11" t="s">
        <v>36</v>
      </c>
      <c r="E305" s="12">
        <v>38</v>
      </c>
      <c r="F305" s="12">
        <v>38</v>
      </c>
      <c r="G305" s="8">
        <v>22</v>
      </c>
      <c r="H305" s="8">
        <v>34</v>
      </c>
      <c r="I305" s="8">
        <v>45</v>
      </c>
      <c r="J305" s="8">
        <f>1.698*1.21</f>
        <v>2.0545800000000001</v>
      </c>
      <c r="K305" s="8">
        <v>30</v>
      </c>
      <c r="L305" s="13"/>
      <c r="M305" s="13">
        <v>12.3</v>
      </c>
      <c r="N305" s="13">
        <v>16.809999999999999</v>
      </c>
      <c r="O305" s="13">
        <v>25.09</v>
      </c>
      <c r="P305" s="8">
        <f t="shared" si="63"/>
        <v>758.14002000000005</v>
      </c>
      <c r="Q305" s="8">
        <f t="shared" si="64"/>
        <v>1036.1246939999999</v>
      </c>
      <c r="R305" s="8">
        <f t="shared" si="65"/>
        <v>1546.4823660000002</v>
      </c>
    </row>
    <row r="306" spans="1:18" ht="48" x14ac:dyDescent="0.2">
      <c r="A306" s="9" t="s">
        <v>16</v>
      </c>
      <c r="B306" s="10" t="s">
        <v>445</v>
      </c>
      <c r="C306" s="8">
        <v>1</v>
      </c>
      <c r="D306" s="11" t="s">
        <v>36</v>
      </c>
      <c r="E306" s="12">
        <v>38</v>
      </c>
      <c r="F306" s="12">
        <v>38</v>
      </c>
      <c r="G306" s="8">
        <v>22</v>
      </c>
      <c r="H306" s="8">
        <v>34</v>
      </c>
      <c r="I306" s="8">
        <v>45</v>
      </c>
      <c r="J306" s="8">
        <f>1.81*1.21</f>
        <v>2.1901000000000002</v>
      </c>
      <c r="K306" s="8">
        <v>30</v>
      </c>
      <c r="L306" s="13"/>
      <c r="M306" s="13">
        <v>12.3</v>
      </c>
      <c r="N306" s="13">
        <v>16.809999999999999</v>
      </c>
      <c r="O306" s="13">
        <v>25.09</v>
      </c>
      <c r="P306" s="8">
        <f t="shared" si="63"/>
        <v>808.14690000000007</v>
      </c>
      <c r="Q306" s="8">
        <f t="shared" si="64"/>
        <v>1104.4674299999999</v>
      </c>
      <c r="R306" s="8">
        <f t="shared" si="65"/>
        <v>1648.4882700000003</v>
      </c>
    </row>
    <row r="307" spans="1:18" ht="48" x14ac:dyDescent="0.2">
      <c r="A307" s="9" t="s">
        <v>17</v>
      </c>
      <c r="B307" s="10" t="s">
        <v>446</v>
      </c>
      <c r="C307" s="8">
        <v>1</v>
      </c>
      <c r="D307" s="11" t="s">
        <v>36</v>
      </c>
      <c r="E307" s="12">
        <v>38</v>
      </c>
      <c r="F307" s="12">
        <v>38</v>
      </c>
      <c r="G307" s="8">
        <v>22</v>
      </c>
      <c r="H307" s="8">
        <v>34</v>
      </c>
      <c r="I307" s="8">
        <v>45</v>
      </c>
      <c r="J307" s="8">
        <f>1.81*1.21</f>
        <v>2.1901000000000002</v>
      </c>
      <c r="K307" s="8">
        <v>30</v>
      </c>
      <c r="L307" s="13"/>
      <c r="M307" s="13">
        <v>12.3</v>
      </c>
      <c r="N307" s="13">
        <v>16.809999999999999</v>
      </c>
      <c r="O307" s="13">
        <v>25.09</v>
      </c>
      <c r="P307" s="8">
        <f t="shared" si="63"/>
        <v>808.14690000000007</v>
      </c>
      <c r="Q307" s="8">
        <f t="shared" si="64"/>
        <v>1104.4674299999999</v>
      </c>
      <c r="R307" s="8">
        <f t="shared" si="65"/>
        <v>1648.4882700000003</v>
      </c>
    </row>
    <row r="308" spans="1:18" ht="64" x14ac:dyDescent="0.2">
      <c r="A308" s="9" t="s">
        <v>18</v>
      </c>
      <c r="B308" s="10" t="s">
        <v>447</v>
      </c>
      <c r="C308" s="8">
        <v>3</v>
      </c>
      <c r="D308" s="11" t="s">
        <v>36</v>
      </c>
      <c r="E308" s="12">
        <v>38</v>
      </c>
      <c r="F308" s="12">
        <v>114</v>
      </c>
      <c r="G308" s="8">
        <v>22</v>
      </c>
      <c r="H308" s="8">
        <v>34</v>
      </c>
      <c r="I308" s="8">
        <v>45</v>
      </c>
      <c r="J308" s="8">
        <f>1.81*1.21*3</f>
        <v>6.5703000000000005</v>
      </c>
      <c r="K308" s="8">
        <v>30</v>
      </c>
      <c r="L308" s="13"/>
      <c r="M308" s="13">
        <v>12.3</v>
      </c>
      <c r="N308" s="13">
        <v>16.809999999999999</v>
      </c>
      <c r="O308" s="13">
        <v>25.09</v>
      </c>
      <c r="P308" s="8">
        <f t="shared" si="63"/>
        <v>2424.4407000000001</v>
      </c>
      <c r="Q308" s="8">
        <f t="shared" si="64"/>
        <v>3313.40229</v>
      </c>
      <c r="R308" s="8">
        <f t="shared" si="65"/>
        <v>4945.4648100000004</v>
      </c>
    </row>
    <row r="309" spans="1:18" ht="48" x14ac:dyDescent="0.2">
      <c r="A309" s="9" t="s">
        <v>19</v>
      </c>
      <c r="B309" s="10" t="s">
        <v>448</v>
      </c>
      <c r="C309" s="8">
        <v>1</v>
      </c>
      <c r="D309" s="11" t="s">
        <v>36</v>
      </c>
      <c r="E309" s="12">
        <v>38</v>
      </c>
      <c r="F309" s="12">
        <v>38</v>
      </c>
      <c r="G309" s="8">
        <v>22</v>
      </c>
      <c r="H309" s="8">
        <v>34</v>
      </c>
      <c r="I309" s="8">
        <v>45</v>
      </c>
      <c r="J309" s="8">
        <f>2*1.81*1.21</f>
        <v>4.3802000000000003</v>
      </c>
      <c r="K309" s="8">
        <v>30</v>
      </c>
      <c r="L309" s="13"/>
      <c r="M309" s="13">
        <v>12.3</v>
      </c>
      <c r="N309" s="13">
        <v>16.809999999999999</v>
      </c>
      <c r="O309" s="13">
        <v>25.09</v>
      </c>
      <c r="P309" s="8">
        <f t="shared" si="63"/>
        <v>1616.2938000000001</v>
      </c>
      <c r="Q309" s="8">
        <f t="shared" si="64"/>
        <v>2208.9348599999998</v>
      </c>
      <c r="R309" s="8">
        <f t="shared" si="65"/>
        <v>3296.9765400000006</v>
      </c>
    </row>
    <row r="310" spans="1:18" ht="32" x14ac:dyDescent="0.2">
      <c r="A310" s="9" t="s">
        <v>6</v>
      </c>
      <c r="B310" s="10" t="s">
        <v>449</v>
      </c>
      <c r="C310" s="8">
        <v>3</v>
      </c>
      <c r="D310" s="11" t="s">
        <v>36</v>
      </c>
      <c r="E310" s="12">
        <v>585</v>
      </c>
      <c r="F310" s="12">
        <v>1755</v>
      </c>
      <c r="G310" s="8">
        <v>24</v>
      </c>
      <c r="H310" s="8">
        <v>35</v>
      </c>
      <c r="I310" s="8">
        <v>45</v>
      </c>
      <c r="J310" s="8">
        <f>0.55*0.98*3</f>
        <v>1.617</v>
      </c>
      <c r="K310" s="8">
        <v>30</v>
      </c>
      <c r="L310" s="13"/>
      <c r="M310" s="13">
        <v>12.3</v>
      </c>
      <c r="N310" s="13">
        <v>16.809999999999999</v>
      </c>
      <c r="O310" s="13">
        <v>25.09</v>
      </c>
      <c r="P310" s="8">
        <f t="shared" ref="P310:P313" si="66">M310*K310*J310</f>
        <v>596.673</v>
      </c>
      <c r="Q310" s="8">
        <f t="shared" ref="Q310:Q313" si="67">N310*K310*J310</f>
        <v>815.45309999999995</v>
      </c>
      <c r="R310" s="8">
        <f t="shared" ref="R310:R313" si="68">O310*K310*J310</f>
        <v>1217.1159</v>
      </c>
    </row>
    <row r="311" spans="1:18" ht="32" x14ac:dyDescent="0.2">
      <c r="A311" s="9" t="s">
        <v>9</v>
      </c>
      <c r="B311" s="10" t="s">
        <v>450</v>
      </c>
      <c r="C311" s="8">
        <v>6</v>
      </c>
      <c r="D311" s="11" t="s">
        <v>36</v>
      </c>
      <c r="E311" s="12">
        <v>690</v>
      </c>
      <c r="F311" s="12">
        <v>4140</v>
      </c>
      <c r="G311" s="8">
        <v>24</v>
      </c>
      <c r="H311" s="8">
        <v>35</v>
      </c>
      <c r="I311" s="8">
        <v>45</v>
      </c>
      <c r="J311" s="8">
        <f>0.66*1.398*6</f>
        <v>5.5360800000000001</v>
      </c>
      <c r="K311" s="8">
        <v>30</v>
      </c>
      <c r="L311" s="13"/>
      <c r="M311" s="13">
        <v>12.3</v>
      </c>
      <c r="N311" s="13">
        <v>16.809999999999999</v>
      </c>
      <c r="O311" s="13">
        <v>25.09</v>
      </c>
      <c r="P311" s="8">
        <f t="shared" si="66"/>
        <v>2042.8135200000002</v>
      </c>
      <c r="Q311" s="8">
        <f t="shared" si="67"/>
        <v>2791.8451439999999</v>
      </c>
      <c r="R311" s="8">
        <f t="shared" si="68"/>
        <v>4167.0074160000004</v>
      </c>
    </row>
    <row r="312" spans="1:18" ht="48" x14ac:dyDescent="0.2">
      <c r="A312" s="9" t="s">
        <v>10</v>
      </c>
      <c r="B312" s="10" t="s">
        <v>451</v>
      </c>
      <c r="C312" s="8">
        <v>1</v>
      </c>
      <c r="D312" s="11" t="s">
        <v>36</v>
      </c>
      <c r="E312" s="12">
        <v>1438</v>
      </c>
      <c r="F312" s="12">
        <v>1438</v>
      </c>
      <c r="G312" s="8">
        <v>24</v>
      </c>
      <c r="H312" s="8">
        <v>35</v>
      </c>
      <c r="I312" s="8">
        <v>45</v>
      </c>
      <c r="J312" s="8">
        <f>0.669*0.669</f>
        <v>0.44756100000000004</v>
      </c>
      <c r="K312" s="8">
        <v>30</v>
      </c>
      <c r="L312" s="13"/>
      <c r="M312" s="13">
        <v>12.3</v>
      </c>
      <c r="N312" s="13">
        <v>16.809999999999999</v>
      </c>
      <c r="O312" s="13">
        <v>25.09</v>
      </c>
      <c r="P312" s="8">
        <f t="shared" si="66"/>
        <v>165.15000900000001</v>
      </c>
      <c r="Q312" s="8">
        <f t="shared" si="67"/>
        <v>225.70501229999999</v>
      </c>
      <c r="R312" s="8">
        <f t="shared" si="68"/>
        <v>336.87916470000005</v>
      </c>
    </row>
    <row r="313" spans="1:18" ht="32" x14ac:dyDescent="0.2">
      <c r="A313" s="9" t="s">
        <v>11</v>
      </c>
      <c r="B313" s="10" t="s">
        <v>452</v>
      </c>
      <c r="C313" s="8">
        <v>1</v>
      </c>
      <c r="D313" s="11" t="s">
        <v>36</v>
      </c>
      <c r="E313" s="12">
        <v>165</v>
      </c>
      <c r="F313" s="12">
        <v>165</v>
      </c>
      <c r="G313" s="8">
        <v>24</v>
      </c>
      <c r="H313" s="8">
        <v>35</v>
      </c>
      <c r="I313" s="8">
        <v>45</v>
      </c>
      <c r="J313" s="8">
        <f>2.9*1.02</f>
        <v>2.9579999999999997</v>
      </c>
      <c r="K313" s="8">
        <v>30</v>
      </c>
      <c r="L313" s="13"/>
      <c r="M313" s="13">
        <v>12.3</v>
      </c>
      <c r="N313" s="13">
        <v>16.809999999999999</v>
      </c>
      <c r="O313" s="13">
        <v>25.09</v>
      </c>
      <c r="P313" s="8">
        <f t="shared" si="66"/>
        <v>1091.502</v>
      </c>
      <c r="Q313" s="8">
        <f t="shared" si="67"/>
        <v>1491.7193999999997</v>
      </c>
      <c r="R313" s="8">
        <f t="shared" si="68"/>
        <v>2226.4865999999997</v>
      </c>
    </row>
    <row r="314" spans="1:18" ht="80" x14ac:dyDescent="0.2">
      <c r="A314" s="9" t="s">
        <v>12</v>
      </c>
      <c r="B314" s="10" t="s">
        <v>453</v>
      </c>
      <c r="C314" s="8">
        <v>1</v>
      </c>
      <c r="D314" s="11" t="s">
        <v>36</v>
      </c>
      <c r="E314" s="12">
        <v>1183.1500000000001</v>
      </c>
      <c r="F314" s="12">
        <v>1183.1500000000001</v>
      </c>
      <c r="G314" s="8">
        <v>22</v>
      </c>
      <c r="H314" s="8">
        <v>32</v>
      </c>
      <c r="I314" s="8">
        <v>41</v>
      </c>
      <c r="J314" s="8">
        <f>0.02*1.81*2.11</f>
        <v>7.6382000000000005E-2</v>
      </c>
      <c r="K314" s="8">
        <v>1400</v>
      </c>
      <c r="M314" s="8">
        <v>69.400000000000006</v>
      </c>
      <c r="N314" s="8">
        <v>69.400000000000006</v>
      </c>
      <c r="O314" s="8">
        <v>69.400000000000006</v>
      </c>
      <c r="P314" s="8">
        <f>M314*K314*J314</f>
        <v>7421.2751200000021</v>
      </c>
      <c r="Q314" s="8">
        <f>N314*K314*J314</f>
        <v>7421.2751200000021</v>
      </c>
      <c r="R314" s="8">
        <f>O314*K314*J314</f>
        <v>7421.2751200000021</v>
      </c>
    </row>
    <row r="315" spans="1:18" ht="64" x14ac:dyDescent="0.2">
      <c r="A315" s="9" t="s">
        <v>13</v>
      </c>
      <c r="B315" s="10" t="s">
        <v>454</v>
      </c>
      <c r="C315" s="8">
        <v>1</v>
      </c>
      <c r="D315" s="11" t="s">
        <v>36</v>
      </c>
      <c r="E315" s="12">
        <v>1183.1500000000001</v>
      </c>
      <c r="F315" s="12">
        <v>1183.1500000000001</v>
      </c>
      <c r="G315" s="8">
        <v>22</v>
      </c>
      <c r="H315" s="8">
        <v>32</v>
      </c>
      <c r="I315" s="8">
        <v>41</v>
      </c>
      <c r="J315" s="8">
        <f>0.02*2.73*2.11</f>
        <v>0.115206</v>
      </c>
      <c r="K315" s="8">
        <v>1400</v>
      </c>
      <c r="M315" s="8">
        <v>69.400000000000006</v>
      </c>
      <c r="N315" s="8">
        <v>69.400000000000006</v>
      </c>
      <c r="O315" s="8">
        <v>69.400000000000006</v>
      </c>
      <c r="P315" s="8">
        <f t="shared" ref="P315:P317" si="69">M315*K315*J315</f>
        <v>11193.414960000002</v>
      </c>
      <c r="Q315" s="8">
        <f t="shared" ref="Q315:Q317" si="70">N315*K315*J315</f>
        <v>11193.414960000002</v>
      </c>
      <c r="R315" s="8">
        <f t="shared" ref="R315:R317" si="71">O315*K315*J315</f>
        <v>11193.414960000002</v>
      </c>
    </row>
    <row r="316" spans="1:18" ht="80" x14ac:dyDescent="0.2">
      <c r="A316" s="9" t="s">
        <v>14</v>
      </c>
      <c r="B316" s="10" t="s">
        <v>455</v>
      </c>
      <c r="C316" s="8">
        <v>2</v>
      </c>
      <c r="D316" s="11" t="s">
        <v>36</v>
      </c>
      <c r="E316" s="12">
        <v>1183.1500000000001</v>
      </c>
      <c r="F316" s="12">
        <v>2366.3000000000002</v>
      </c>
      <c r="G316" s="8">
        <v>22</v>
      </c>
      <c r="H316" s="8">
        <v>32</v>
      </c>
      <c r="I316" s="8">
        <v>41</v>
      </c>
      <c r="J316" s="8">
        <f>0.02*2.94*2.11*2</f>
        <v>0.24813599999999997</v>
      </c>
      <c r="K316" s="8">
        <v>1400</v>
      </c>
      <c r="M316" s="8">
        <v>69.400000000000006</v>
      </c>
      <c r="N316" s="8">
        <v>69.400000000000006</v>
      </c>
      <c r="O316" s="8">
        <v>69.400000000000006</v>
      </c>
      <c r="P316" s="8">
        <f t="shared" si="69"/>
        <v>24108.893759999999</v>
      </c>
      <c r="Q316" s="8">
        <f t="shared" si="70"/>
        <v>24108.893759999999</v>
      </c>
      <c r="R316" s="8">
        <f t="shared" si="71"/>
        <v>24108.893759999999</v>
      </c>
    </row>
    <row r="317" spans="1:18" ht="96" x14ac:dyDescent="0.2">
      <c r="A317" s="9" t="s">
        <v>6</v>
      </c>
      <c r="B317" s="10" t="s">
        <v>456</v>
      </c>
      <c r="C317" s="8">
        <v>6</v>
      </c>
      <c r="D317" s="11" t="s">
        <v>36</v>
      </c>
      <c r="E317" s="12">
        <v>1291.98</v>
      </c>
      <c r="F317" s="12">
        <v>7751.88</v>
      </c>
      <c r="G317" s="8">
        <v>22</v>
      </c>
      <c r="H317" s="8">
        <v>32</v>
      </c>
      <c r="I317" s="8">
        <v>41</v>
      </c>
      <c r="J317" s="8">
        <f>0.02*2.94*2.11*6</f>
        <v>0.74440799999999996</v>
      </c>
      <c r="K317" s="8">
        <v>1400</v>
      </c>
      <c r="M317" s="8">
        <v>69.400000000000006</v>
      </c>
      <c r="N317" s="8">
        <v>69.400000000000006</v>
      </c>
      <c r="O317" s="8">
        <v>69.400000000000006</v>
      </c>
      <c r="P317" s="8">
        <f t="shared" si="69"/>
        <v>72326.681280000004</v>
      </c>
      <c r="Q317" s="8">
        <f t="shared" si="70"/>
        <v>72326.681280000004</v>
      </c>
      <c r="R317" s="8">
        <f t="shared" si="71"/>
        <v>72326.681280000004</v>
      </c>
    </row>
    <row r="318" spans="1:18" ht="64" x14ac:dyDescent="0.2">
      <c r="A318" s="9" t="s">
        <v>9</v>
      </c>
      <c r="B318" s="10" t="s">
        <v>457</v>
      </c>
      <c r="C318" s="8">
        <v>1</v>
      </c>
      <c r="D318" s="11" t="s">
        <v>36</v>
      </c>
      <c r="E318" s="12">
        <v>95</v>
      </c>
      <c r="F318" s="12">
        <v>95</v>
      </c>
      <c r="G318" s="8">
        <v>25</v>
      </c>
      <c r="H318" s="8">
        <v>39</v>
      </c>
      <c r="I318" s="8">
        <v>50</v>
      </c>
      <c r="J318" s="8">
        <f>0.035*1.023*2.11</f>
        <v>7.5548550000000006E-2</v>
      </c>
      <c r="K318" s="8">
        <v>700</v>
      </c>
      <c r="M318" s="8">
        <v>0.33</v>
      </c>
      <c r="N318" s="8">
        <v>5.38</v>
      </c>
      <c r="O318" s="8">
        <v>16</v>
      </c>
      <c r="P318" s="8">
        <f t="shared" ref="P318:P324" si="72">M318*K318*J318</f>
        <v>17.451715050000001</v>
      </c>
      <c r="Q318" s="8">
        <f t="shared" ref="Q318:Q324" si="73">N318*K318*J318</f>
        <v>284.51583930000004</v>
      </c>
      <c r="R318" s="8">
        <f t="shared" ref="R318:R324" si="74">O318*K318*J318</f>
        <v>846.14376000000004</v>
      </c>
    </row>
    <row r="319" spans="1:18" ht="80" x14ac:dyDescent="0.2">
      <c r="A319" s="9" t="s">
        <v>10</v>
      </c>
      <c r="B319" s="10" t="s">
        <v>458</v>
      </c>
      <c r="C319" s="8">
        <v>1</v>
      </c>
      <c r="D319" s="11" t="s">
        <v>36</v>
      </c>
      <c r="E319" s="12">
        <v>95</v>
      </c>
      <c r="F319" s="12">
        <v>95</v>
      </c>
      <c r="G319" s="8">
        <v>25</v>
      </c>
      <c r="H319" s="8">
        <v>39</v>
      </c>
      <c r="I319" s="8">
        <v>50</v>
      </c>
      <c r="J319" s="8">
        <f>0.035*1.023*2.11</f>
        <v>7.5548550000000006E-2</v>
      </c>
      <c r="K319" s="8">
        <v>700</v>
      </c>
      <c r="M319" s="8">
        <v>0.33</v>
      </c>
      <c r="N319" s="8">
        <v>5.38</v>
      </c>
      <c r="O319" s="8">
        <v>16</v>
      </c>
      <c r="P319" s="8">
        <f t="shared" si="72"/>
        <v>17.451715050000001</v>
      </c>
      <c r="Q319" s="8">
        <f t="shared" si="73"/>
        <v>284.51583930000004</v>
      </c>
      <c r="R319" s="8">
        <f t="shared" si="74"/>
        <v>846.14376000000004</v>
      </c>
    </row>
    <row r="320" spans="1:18" ht="64" x14ac:dyDescent="0.2">
      <c r="A320" s="9" t="s">
        <v>11</v>
      </c>
      <c r="B320" s="10" t="s">
        <v>459</v>
      </c>
      <c r="C320" s="8">
        <v>1</v>
      </c>
      <c r="D320" s="11" t="s">
        <v>36</v>
      </c>
      <c r="E320" s="12">
        <v>95</v>
      </c>
      <c r="F320" s="12">
        <v>95</v>
      </c>
      <c r="G320" s="8">
        <v>25</v>
      </c>
      <c r="H320" s="8">
        <v>39</v>
      </c>
      <c r="I320" s="8">
        <v>50</v>
      </c>
      <c r="J320" s="8">
        <f>0.035*1.023*2.11</f>
        <v>7.5548550000000006E-2</v>
      </c>
      <c r="K320" s="8">
        <v>700</v>
      </c>
      <c r="M320" s="8">
        <v>0.33</v>
      </c>
      <c r="N320" s="8">
        <v>5.38</v>
      </c>
      <c r="O320" s="8">
        <v>16</v>
      </c>
      <c r="P320" s="8">
        <f t="shared" si="72"/>
        <v>17.451715050000001</v>
      </c>
      <c r="Q320" s="8">
        <f t="shared" si="73"/>
        <v>284.51583930000004</v>
      </c>
      <c r="R320" s="8">
        <f t="shared" si="74"/>
        <v>846.14376000000004</v>
      </c>
    </row>
    <row r="321" spans="1:18" ht="64" x14ac:dyDescent="0.2">
      <c r="A321" s="9" t="s">
        <v>12</v>
      </c>
      <c r="B321" s="10" t="s">
        <v>460</v>
      </c>
      <c r="C321" s="8">
        <v>1</v>
      </c>
      <c r="D321" s="11" t="s">
        <v>36</v>
      </c>
      <c r="E321" s="12">
        <v>95</v>
      </c>
      <c r="F321" s="12">
        <v>95</v>
      </c>
      <c r="G321" s="8">
        <v>25</v>
      </c>
      <c r="H321" s="8">
        <v>39</v>
      </c>
      <c r="I321" s="8">
        <v>50</v>
      </c>
      <c r="J321" s="8">
        <f>0.035*1.023*2.11</f>
        <v>7.5548550000000006E-2</v>
      </c>
      <c r="K321" s="8">
        <v>700</v>
      </c>
      <c r="M321" s="8">
        <v>0.33</v>
      </c>
      <c r="N321" s="8">
        <v>5.38</v>
      </c>
      <c r="O321" s="8">
        <v>16</v>
      </c>
      <c r="P321" s="8">
        <f t="shared" si="72"/>
        <v>17.451715050000001</v>
      </c>
      <c r="Q321" s="8">
        <f t="shared" si="73"/>
        <v>284.51583930000004</v>
      </c>
      <c r="R321" s="8">
        <f t="shared" si="74"/>
        <v>846.14376000000004</v>
      </c>
    </row>
    <row r="322" spans="1:18" ht="80" x14ac:dyDescent="0.2">
      <c r="A322" s="9" t="s">
        <v>13</v>
      </c>
      <c r="B322" s="10" t="s">
        <v>461</v>
      </c>
      <c r="C322" s="8">
        <v>1</v>
      </c>
      <c r="D322" s="11" t="s">
        <v>36</v>
      </c>
      <c r="E322" s="12">
        <v>95</v>
      </c>
      <c r="F322" s="12">
        <v>95</v>
      </c>
      <c r="G322" s="8">
        <v>25</v>
      </c>
      <c r="H322" s="8">
        <v>39</v>
      </c>
      <c r="I322" s="8">
        <v>50</v>
      </c>
      <c r="J322" s="8">
        <f>0.035*1.023*2.11</f>
        <v>7.5548550000000006E-2</v>
      </c>
      <c r="K322" s="8">
        <v>700</v>
      </c>
      <c r="M322" s="8">
        <v>0.33</v>
      </c>
      <c r="N322" s="8">
        <v>5.38</v>
      </c>
      <c r="O322" s="8">
        <v>16</v>
      </c>
      <c r="P322" s="8">
        <f t="shared" si="72"/>
        <v>17.451715050000001</v>
      </c>
      <c r="Q322" s="8">
        <f t="shared" si="73"/>
        <v>284.51583930000004</v>
      </c>
      <c r="R322" s="8">
        <f t="shared" si="74"/>
        <v>846.14376000000004</v>
      </c>
    </row>
    <row r="323" spans="1:18" ht="80" x14ac:dyDescent="0.2">
      <c r="A323" s="9" t="s">
        <v>6</v>
      </c>
      <c r="B323" s="10" t="s">
        <v>462</v>
      </c>
      <c r="C323" s="8">
        <v>5</v>
      </c>
      <c r="D323" s="11" t="s">
        <v>36</v>
      </c>
      <c r="E323" s="12">
        <v>638.95000000000005</v>
      </c>
      <c r="F323" s="12">
        <v>3194.75</v>
      </c>
      <c r="G323" s="8">
        <v>25</v>
      </c>
      <c r="H323" s="8">
        <v>39</v>
      </c>
      <c r="I323" s="8">
        <v>50</v>
      </c>
      <c r="J323" s="8">
        <f>0.035*1.023*2.11*5</f>
        <v>0.37774275000000002</v>
      </c>
      <c r="K323" s="8">
        <v>700</v>
      </c>
      <c r="M323" s="8">
        <v>0.33</v>
      </c>
      <c r="N323" s="8">
        <v>5.38</v>
      </c>
      <c r="O323" s="8">
        <v>16</v>
      </c>
      <c r="P323" s="8">
        <f t="shared" si="72"/>
        <v>87.258575250000007</v>
      </c>
      <c r="Q323" s="8">
        <f t="shared" si="73"/>
        <v>1422.5791965000001</v>
      </c>
      <c r="R323" s="8">
        <f t="shared" si="74"/>
        <v>4230.7188000000006</v>
      </c>
    </row>
    <row r="324" spans="1:18" ht="48" x14ac:dyDescent="0.2">
      <c r="A324" s="9" t="s">
        <v>9</v>
      </c>
      <c r="B324" s="10" t="s">
        <v>463</v>
      </c>
      <c r="C324" s="8">
        <v>1</v>
      </c>
      <c r="D324" s="11" t="s">
        <v>36</v>
      </c>
      <c r="E324" s="12">
        <v>95</v>
      </c>
      <c r="F324" s="12">
        <v>95</v>
      </c>
      <c r="G324" s="8">
        <v>25</v>
      </c>
      <c r="H324" s="8">
        <v>39</v>
      </c>
      <c r="I324" s="8">
        <v>50</v>
      </c>
      <c r="J324" s="8">
        <f>0.035*1.023*2.11</f>
        <v>7.5548550000000006E-2</v>
      </c>
      <c r="K324" s="8">
        <v>700</v>
      </c>
      <c r="M324" s="8">
        <v>0.33</v>
      </c>
      <c r="N324" s="8">
        <v>5.38</v>
      </c>
      <c r="O324" s="8">
        <v>16</v>
      </c>
      <c r="P324" s="8">
        <f t="shared" si="72"/>
        <v>17.451715050000001</v>
      </c>
      <c r="Q324" s="8">
        <f t="shared" si="73"/>
        <v>284.51583930000004</v>
      </c>
      <c r="R324" s="8">
        <f t="shared" si="74"/>
        <v>846.14376000000004</v>
      </c>
    </row>
    <row r="325" spans="1:18" ht="64" x14ac:dyDescent="0.2">
      <c r="A325" s="9" t="s">
        <v>10</v>
      </c>
      <c r="B325" s="10" t="s">
        <v>464</v>
      </c>
      <c r="C325" s="8">
        <v>2</v>
      </c>
      <c r="D325" s="11" t="s">
        <v>36</v>
      </c>
      <c r="E325" s="12">
        <v>2775.86</v>
      </c>
      <c r="F325" s="12">
        <v>5551.72</v>
      </c>
      <c r="G325" s="8">
        <v>15</v>
      </c>
      <c r="H325" s="8">
        <v>30</v>
      </c>
      <c r="I325" s="8">
        <v>38</v>
      </c>
      <c r="J325" s="8">
        <f>0.035*2.373*2.11*2</f>
        <v>0.35049210000000003</v>
      </c>
      <c r="K325" s="8">
        <v>2700</v>
      </c>
      <c r="M325" s="8">
        <f>155*0.8</f>
        <v>124</v>
      </c>
      <c r="N325" s="8">
        <v>155</v>
      </c>
      <c r="O325" s="8">
        <f>155*1.2</f>
        <v>186</v>
      </c>
      <c r="P325" s="8">
        <f>M325*K325*J325</f>
        <v>117344.75508</v>
      </c>
      <c r="Q325" s="8">
        <f>N325*K325*J325</f>
        <v>146680.94385000001</v>
      </c>
      <c r="R325" s="8">
        <f>O325*K325*J325</f>
        <v>176017.13262000002</v>
      </c>
    </row>
    <row r="326" spans="1:18" ht="64" x14ac:dyDescent="0.2">
      <c r="A326" s="9" t="s">
        <v>6</v>
      </c>
      <c r="B326" s="10" t="s">
        <v>465</v>
      </c>
      <c r="C326" s="8">
        <v>2</v>
      </c>
      <c r="D326" s="11" t="s">
        <v>36</v>
      </c>
      <c r="E326" s="12">
        <v>3577.66</v>
      </c>
      <c r="F326" s="12">
        <v>7155.32</v>
      </c>
      <c r="G326" s="8">
        <v>15</v>
      </c>
      <c r="H326" s="8">
        <v>30</v>
      </c>
      <c r="I326" s="8">
        <v>38</v>
      </c>
      <c r="J326" s="8">
        <f>0.035*3.61*2.11*2</f>
        <v>0.53319700000000003</v>
      </c>
      <c r="K326" s="8">
        <v>2700</v>
      </c>
      <c r="M326" s="8">
        <f>155*0.8</f>
        <v>124</v>
      </c>
      <c r="N326" s="8">
        <v>155</v>
      </c>
      <c r="O326" s="8">
        <f>155*1.2</f>
        <v>186</v>
      </c>
      <c r="P326" s="8">
        <f t="shared" ref="P326:P327" si="75">M326*K326*J326</f>
        <v>178514.35560000001</v>
      </c>
      <c r="Q326" s="8">
        <f t="shared" ref="Q326:Q327" si="76">N326*K326*J326</f>
        <v>223142.94450000001</v>
      </c>
      <c r="R326" s="8">
        <f t="shared" ref="R326:R327" si="77">O326*K326*J326</f>
        <v>267771.53340000001</v>
      </c>
    </row>
    <row r="327" spans="1:18" ht="48" x14ac:dyDescent="0.2">
      <c r="A327" s="9" t="s">
        <v>9</v>
      </c>
      <c r="B327" s="10" t="s">
        <v>466</v>
      </c>
      <c r="C327" s="8">
        <v>1</v>
      </c>
      <c r="D327" s="11" t="s">
        <v>36</v>
      </c>
      <c r="E327" s="12">
        <v>2835.32</v>
      </c>
      <c r="F327" s="12">
        <v>2835.32</v>
      </c>
      <c r="G327" s="8">
        <v>15</v>
      </c>
      <c r="H327" s="8">
        <v>30</v>
      </c>
      <c r="I327" s="8">
        <v>38</v>
      </c>
      <c r="J327" s="8">
        <f>0.035*2.598*2.11</f>
        <v>0.19186230000000001</v>
      </c>
      <c r="K327" s="8">
        <v>2700</v>
      </c>
      <c r="M327" s="8">
        <f>155*0.8</f>
        <v>124</v>
      </c>
      <c r="N327" s="8">
        <v>155</v>
      </c>
      <c r="O327" s="8">
        <f>155*1.2</f>
        <v>186</v>
      </c>
      <c r="P327" s="8">
        <f t="shared" si="75"/>
        <v>64235.498040000006</v>
      </c>
      <c r="Q327" s="8">
        <f t="shared" si="76"/>
        <v>80294.37255</v>
      </c>
      <c r="R327" s="8">
        <f t="shared" si="77"/>
        <v>96353.247060000009</v>
      </c>
    </row>
    <row r="328" spans="1:18" ht="48" x14ac:dyDescent="0.2">
      <c r="A328" s="9" t="s">
        <v>10</v>
      </c>
      <c r="B328" s="10" t="s">
        <v>467</v>
      </c>
      <c r="C328" s="8">
        <v>1</v>
      </c>
      <c r="D328" s="11" t="s">
        <v>36</v>
      </c>
      <c r="E328" s="12">
        <v>1500</v>
      </c>
      <c r="F328" s="12">
        <v>1500</v>
      </c>
      <c r="G328" s="8">
        <v>15</v>
      </c>
      <c r="H328" s="8">
        <v>30</v>
      </c>
      <c r="I328" s="8">
        <v>38</v>
      </c>
      <c r="J328" s="8">
        <f>0.045*2.579*2.194</f>
        <v>0.25462467</v>
      </c>
      <c r="K328" s="8">
        <v>2700</v>
      </c>
      <c r="M328" s="8">
        <f>155*0.8</f>
        <v>124</v>
      </c>
      <c r="N328" s="8">
        <v>155</v>
      </c>
      <c r="O328" s="8">
        <f>155*1.2</f>
        <v>186</v>
      </c>
      <c r="P328" s="8">
        <f t="shared" ref="P328:P329" si="78">M328*K328*J328</f>
        <v>85248.339515999993</v>
      </c>
      <c r="Q328" s="8">
        <f t="shared" ref="Q328:Q329" si="79">N328*K328*J328</f>
        <v>106560.42439499999</v>
      </c>
      <c r="R328" s="8">
        <f t="shared" ref="R328:R329" si="80">O328*K328*J328</f>
        <v>127872.509274</v>
      </c>
    </row>
    <row r="329" spans="1:18" ht="64" x14ac:dyDescent="0.2">
      <c r="A329" s="9" t="s">
        <v>11</v>
      </c>
      <c r="B329" s="10" t="s">
        <v>468</v>
      </c>
      <c r="C329" s="8">
        <v>4</v>
      </c>
      <c r="D329" s="11" t="s">
        <v>36</v>
      </c>
      <c r="E329" s="12">
        <v>1195</v>
      </c>
      <c r="F329" s="12">
        <v>4780</v>
      </c>
      <c r="G329" s="8">
        <v>15</v>
      </c>
      <c r="H329" s="8">
        <v>30</v>
      </c>
      <c r="I329" s="8">
        <v>38</v>
      </c>
      <c r="J329" s="8">
        <f>0.045*2.485*2.185*4</f>
        <v>0.97735050000000001</v>
      </c>
      <c r="K329" s="8">
        <v>2700</v>
      </c>
      <c r="M329" s="8">
        <f>155*0.8</f>
        <v>124</v>
      </c>
      <c r="N329" s="8">
        <v>155</v>
      </c>
      <c r="O329" s="8">
        <f>155*1.2</f>
        <v>186</v>
      </c>
      <c r="P329" s="8">
        <f t="shared" si="78"/>
        <v>327216.9474</v>
      </c>
      <c r="Q329" s="8">
        <f t="shared" si="79"/>
        <v>409021.18424999999</v>
      </c>
      <c r="R329" s="8">
        <f t="shared" si="80"/>
        <v>490825.42109999998</v>
      </c>
    </row>
    <row r="330" spans="1:18" ht="32" x14ac:dyDescent="0.2">
      <c r="A330" s="9" t="s">
        <v>12</v>
      </c>
      <c r="B330" s="10" t="s">
        <v>469</v>
      </c>
      <c r="C330" s="8">
        <v>1</v>
      </c>
      <c r="D330" s="11" t="s">
        <v>36</v>
      </c>
      <c r="E330" s="12">
        <v>1094</v>
      </c>
      <c r="F330" s="12">
        <v>1094</v>
      </c>
      <c r="G330" s="8">
        <v>20</v>
      </c>
      <c r="H330" s="8">
        <v>30</v>
      </c>
      <c r="I330" s="8">
        <v>40</v>
      </c>
      <c r="J330" s="8">
        <f>0.03*1.0225*2.11</f>
        <v>6.4724249999999997E-2</v>
      </c>
      <c r="K330" s="8">
        <v>700</v>
      </c>
      <c r="M330" s="8">
        <v>0.33</v>
      </c>
      <c r="N330" s="8">
        <v>5.38</v>
      </c>
      <c r="O330" s="8">
        <v>16</v>
      </c>
      <c r="P330" s="8">
        <f>M330*K330*J330</f>
        <v>14.951301749999999</v>
      </c>
      <c r="Q330" s="8">
        <f>N330*K330*J330</f>
        <v>243.75152549999999</v>
      </c>
      <c r="R330" s="8">
        <f>O330*K330*J330</f>
        <v>724.91160000000002</v>
      </c>
    </row>
    <row r="331" spans="1:18" ht="32" x14ac:dyDescent="0.2">
      <c r="A331" s="9" t="s">
        <v>13</v>
      </c>
      <c r="B331" s="10" t="s">
        <v>472</v>
      </c>
      <c r="C331" s="8">
        <v>33</v>
      </c>
      <c r="D331" s="11" t="s">
        <v>34</v>
      </c>
      <c r="E331" s="12">
        <v>4</v>
      </c>
      <c r="F331" s="12">
        <v>132</v>
      </c>
    </row>
    <row r="332" spans="1:18" ht="32" x14ac:dyDescent="0.2">
      <c r="A332" s="9" t="s">
        <v>6</v>
      </c>
      <c r="B332" s="10" t="s">
        <v>470</v>
      </c>
      <c r="C332" s="8">
        <v>33</v>
      </c>
      <c r="D332" s="11" t="s">
        <v>34</v>
      </c>
      <c r="E332" s="12">
        <v>21</v>
      </c>
      <c r="F332" s="12">
        <v>693</v>
      </c>
    </row>
    <row r="333" spans="1:18" ht="32" x14ac:dyDescent="0.2">
      <c r="A333" s="9" t="s">
        <v>9</v>
      </c>
      <c r="B333" s="10" t="s">
        <v>471</v>
      </c>
      <c r="C333" s="8">
        <v>66</v>
      </c>
      <c r="D333" s="11" t="s">
        <v>34</v>
      </c>
      <c r="E333" s="12">
        <v>27</v>
      </c>
      <c r="F333" s="12">
        <v>1782</v>
      </c>
    </row>
    <row r="334" spans="1:18" ht="48" x14ac:dyDescent="0.2">
      <c r="A334" s="9" t="s">
        <v>6</v>
      </c>
      <c r="B334" s="10" t="s">
        <v>38</v>
      </c>
      <c r="C334" s="8">
        <v>162</v>
      </c>
      <c r="D334" s="11" t="s">
        <v>35</v>
      </c>
      <c r="E334" s="12">
        <v>22.8</v>
      </c>
      <c r="F334" s="12">
        <v>3693.6</v>
      </c>
      <c r="G334" s="8">
        <v>52</v>
      </c>
      <c r="H334" s="8">
        <v>72</v>
      </c>
      <c r="I334" s="8">
        <v>101</v>
      </c>
      <c r="J334" s="8">
        <f>C334*0.1</f>
        <v>16.2</v>
      </c>
      <c r="K334" s="8">
        <v>2200</v>
      </c>
      <c r="M334" s="8">
        <f>0.75*0.7</f>
        <v>0.52499999999999991</v>
      </c>
      <c r="N334" s="8">
        <v>0.75</v>
      </c>
      <c r="O334" s="8">
        <f>N334*1.3</f>
        <v>0.97500000000000009</v>
      </c>
      <c r="P334" s="8">
        <f>M334*K334*J334</f>
        <v>18710.999999999996</v>
      </c>
      <c r="Q334" s="8">
        <f>N334*K334*J334</f>
        <v>26730</v>
      </c>
      <c r="R334" s="8">
        <f>O334*K334*J334</f>
        <v>34749</v>
      </c>
    </row>
    <row r="335" spans="1:18" ht="16" x14ac:dyDescent="0.2">
      <c r="A335" s="9" t="s">
        <v>9</v>
      </c>
      <c r="B335" s="10" t="s">
        <v>40</v>
      </c>
      <c r="C335" s="8">
        <v>446</v>
      </c>
      <c r="D335" s="11" t="s">
        <v>35</v>
      </c>
      <c r="E335" s="12">
        <v>22.8</v>
      </c>
      <c r="F335" s="12">
        <v>10168.799999999999</v>
      </c>
      <c r="G335" s="8">
        <v>52</v>
      </c>
      <c r="H335" s="8">
        <v>72</v>
      </c>
      <c r="I335" s="8">
        <v>101</v>
      </c>
      <c r="J335" s="8">
        <f>C335*0.1</f>
        <v>44.6</v>
      </c>
      <c r="K335" s="8">
        <v>2200</v>
      </c>
      <c r="M335" s="8">
        <f>0.75*0.7</f>
        <v>0.52499999999999991</v>
      </c>
      <c r="N335" s="8">
        <v>0.75</v>
      </c>
      <c r="O335" s="8">
        <f>N335*1.3</f>
        <v>0.97500000000000009</v>
      </c>
      <c r="P335" s="8">
        <f t="shared" ref="P335:P336" si="81">M335*K335*J335</f>
        <v>51512.999999999993</v>
      </c>
      <c r="Q335" s="8">
        <f t="shared" ref="Q335:Q336" si="82">N335*K335*J335</f>
        <v>73590</v>
      </c>
      <c r="R335" s="8">
        <f t="shared" ref="R335:R336" si="83">O335*K335*J335</f>
        <v>95667</v>
      </c>
    </row>
    <row r="336" spans="1:18" ht="48" x14ac:dyDescent="0.2">
      <c r="A336" s="9" t="s">
        <v>10</v>
      </c>
      <c r="B336" s="10" t="s">
        <v>473</v>
      </c>
      <c r="C336" s="8">
        <v>16</v>
      </c>
      <c r="D336" s="11" t="s">
        <v>35</v>
      </c>
      <c r="E336" s="12">
        <v>45.58</v>
      </c>
      <c r="F336" s="12">
        <v>729.28</v>
      </c>
      <c r="G336" s="8">
        <v>52</v>
      </c>
      <c r="H336" s="8">
        <v>72</v>
      </c>
      <c r="I336" s="8">
        <v>101</v>
      </c>
      <c r="J336" s="8">
        <f>C336*0.215</f>
        <v>3.44</v>
      </c>
      <c r="K336" s="8">
        <v>2200</v>
      </c>
      <c r="M336" s="8">
        <f>0.75*0.7</f>
        <v>0.52499999999999991</v>
      </c>
      <c r="N336" s="8">
        <v>0.75</v>
      </c>
      <c r="O336" s="8">
        <f>N336*1.3</f>
        <v>0.97500000000000009</v>
      </c>
      <c r="P336" s="8">
        <f t="shared" si="81"/>
        <v>3973.1999999999994</v>
      </c>
      <c r="Q336" s="8">
        <f t="shared" si="82"/>
        <v>5676</v>
      </c>
      <c r="R336" s="8">
        <f t="shared" si="83"/>
        <v>7378.8</v>
      </c>
    </row>
    <row r="337" spans="1:18" ht="48" x14ac:dyDescent="0.2">
      <c r="A337" s="9" t="s">
        <v>11</v>
      </c>
      <c r="B337" s="10" t="s">
        <v>474</v>
      </c>
      <c r="C337" s="8">
        <v>137</v>
      </c>
      <c r="D337" s="11" t="s">
        <v>34</v>
      </c>
      <c r="E337" s="12">
        <v>5</v>
      </c>
      <c r="F337" s="12">
        <v>685</v>
      </c>
      <c r="G337" s="8">
        <v>52</v>
      </c>
      <c r="H337" s="8">
        <v>72</v>
      </c>
      <c r="I337" s="8">
        <v>101</v>
      </c>
    </row>
    <row r="338" spans="1:18" ht="48" x14ac:dyDescent="0.2">
      <c r="A338" s="9" t="s">
        <v>12</v>
      </c>
      <c r="B338" s="10" t="s">
        <v>475</v>
      </c>
      <c r="C338" s="8">
        <v>78</v>
      </c>
      <c r="D338" s="11" t="s">
        <v>34</v>
      </c>
      <c r="E338" s="12">
        <v>10</v>
      </c>
      <c r="F338" s="12">
        <v>780</v>
      </c>
      <c r="G338" s="8">
        <v>52</v>
      </c>
      <c r="H338" s="8">
        <v>72</v>
      </c>
      <c r="I338" s="8">
        <v>101</v>
      </c>
    </row>
    <row r="339" spans="1:18" ht="48" x14ac:dyDescent="0.2">
      <c r="A339" s="9" t="s">
        <v>13</v>
      </c>
      <c r="B339" s="10" t="s">
        <v>476</v>
      </c>
      <c r="C339" s="8">
        <v>6</v>
      </c>
      <c r="D339" s="11" t="s">
        <v>34</v>
      </c>
      <c r="E339" s="12">
        <v>10</v>
      </c>
      <c r="F339" s="12">
        <v>60</v>
      </c>
      <c r="G339" s="8">
        <v>52</v>
      </c>
      <c r="H339" s="8">
        <v>72</v>
      </c>
      <c r="I339" s="8">
        <v>101</v>
      </c>
    </row>
    <row r="340" spans="1:18" ht="48" x14ac:dyDescent="0.2">
      <c r="A340" s="9" t="s">
        <v>14</v>
      </c>
      <c r="B340" s="10" t="s">
        <v>477</v>
      </c>
      <c r="C340" s="8">
        <v>263</v>
      </c>
      <c r="D340" s="11" t="s">
        <v>35</v>
      </c>
      <c r="E340" s="12">
        <v>18.91</v>
      </c>
      <c r="F340" s="12">
        <v>4973.33</v>
      </c>
      <c r="G340" s="8">
        <v>52</v>
      </c>
      <c r="H340" s="8">
        <v>72</v>
      </c>
      <c r="I340" s="8">
        <v>101</v>
      </c>
      <c r="J340" s="8">
        <f>C340*5*0.2*(0.005/2)^2*3.14</f>
        <v>5.1613750000000002E-3</v>
      </c>
      <c r="K340" s="8">
        <v>8000</v>
      </c>
      <c r="M340" s="8">
        <v>11</v>
      </c>
      <c r="N340" s="8">
        <v>56.7</v>
      </c>
      <c r="O340" s="8">
        <v>82</v>
      </c>
      <c r="P340" s="8">
        <f>M340*K340*J340</f>
        <v>454.20100000000002</v>
      </c>
      <c r="Q340" s="8">
        <f>N340*K340*J340</f>
        <v>2341.1997000000001</v>
      </c>
      <c r="R340" s="8">
        <f>O340*K340*J340</f>
        <v>3385.8620000000001</v>
      </c>
    </row>
    <row r="341" spans="1:18" ht="16" x14ac:dyDescent="0.2">
      <c r="A341" s="9" t="s">
        <v>15</v>
      </c>
      <c r="B341" s="10" t="s">
        <v>478</v>
      </c>
      <c r="C341" s="8">
        <v>21</v>
      </c>
      <c r="D341" s="11" t="s">
        <v>34</v>
      </c>
      <c r="E341" s="12">
        <v>8.15</v>
      </c>
      <c r="F341" s="12">
        <v>171.15</v>
      </c>
      <c r="G341" s="8">
        <v>50</v>
      </c>
      <c r="H341" s="8">
        <v>75</v>
      </c>
      <c r="I341" s="8">
        <v>100</v>
      </c>
    </row>
    <row r="342" spans="1:18" ht="48" x14ac:dyDescent="0.2">
      <c r="A342" s="9" t="s">
        <v>16</v>
      </c>
      <c r="B342" s="10" t="s">
        <v>479</v>
      </c>
      <c r="C342" s="8">
        <v>8</v>
      </c>
      <c r="D342" s="11" t="s">
        <v>36</v>
      </c>
      <c r="E342" s="12">
        <v>31.75</v>
      </c>
      <c r="F342" s="12">
        <v>254</v>
      </c>
      <c r="G342" s="8">
        <v>51</v>
      </c>
      <c r="H342" s="8">
        <v>76</v>
      </c>
      <c r="I342" s="8">
        <v>106</v>
      </c>
      <c r="J342" s="8">
        <f>0.1*0.215*0.93*8</f>
        <v>0.15996000000000002</v>
      </c>
      <c r="K342" s="8">
        <v>850</v>
      </c>
      <c r="M342" s="8">
        <v>1.2</v>
      </c>
      <c r="N342" s="8">
        <v>2.1800000000000002</v>
      </c>
      <c r="O342" s="8">
        <v>3.8</v>
      </c>
      <c r="P342" s="8">
        <f>M342*K342*J342</f>
        <v>163.15920000000003</v>
      </c>
      <c r="Q342" s="8">
        <f>N342*K342*J342</f>
        <v>296.40588000000008</v>
      </c>
      <c r="R342" s="8">
        <f>O342*K342*J342</f>
        <v>516.6708000000001</v>
      </c>
    </row>
    <row r="343" spans="1:18" ht="48" x14ac:dyDescent="0.2">
      <c r="A343" s="9" t="s">
        <v>17</v>
      </c>
      <c r="B343" s="10" t="s">
        <v>480</v>
      </c>
      <c r="C343" s="8">
        <v>10</v>
      </c>
      <c r="D343" s="11" t="s">
        <v>36</v>
      </c>
      <c r="E343" s="12">
        <v>32.75</v>
      </c>
      <c r="F343" s="12">
        <v>327.5</v>
      </c>
      <c r="G343" s="8">
        <v>51</v>
      </c>
      <c r="H343" s="8">
        <v>76</v>
      </c>
      <c r="I343" s="8">
        <v>106</v>
      </c>
      <c r="J343" s="8">
        <f>0.1*0.215*1.025*10</f>
        <v>0.22037500000000002</v>
      </c>
      <c r="K343" s="8">
        <v>850</v>
      </c>
      <c r="M343" s="8">
        <v>1.2</v>
      </c>
      <c r="N343" s="8">
        <v>2.1800000000000002</v>
      </c>
      <c r="O343" s="8">
        <v>3.8</v>
      </c>
      <c r="P343" s="8">
        <f t="shared" ref="P343:P344" si="84">M343*K343*J343</f>
        <v>224.78250000000003</v>
      </c>
      <c r="Q343" s="8">
        <f t="shared" ref="Q343:Q345" si="85">N343*K343*J343</f>
        <v>408.35487500000011</v>
      </c>
      <c r="R343" s="8">
        <f t="shared" ref="R343:R345" si="86">O343*K343*J343</f>
        <v>711.81125000000009</v>
      </c>
    </row>
    <row r="344" spans="1:18" ht="48" x14ac:dyDescent="0.2">
      <c r="A344" s="9" t="s">
        <v>18</v>
      </c>
      <c r="B344" s="10" t="s">
        <v>481</v>
      </c>
      <c r="C344" s="8">
        <v>3</v>
      </c>
      <c r="D344" s="11" t="s">
        <v>36</v>
      </c>
      <c r="E344" s="12">
        <v>35.97</v>
      </c>
      <c r="F344" s="12">
        <v>107.91</v>
      </c>
      <c r="G344" s="8">
        <v>51</v>
      </c>
      <c r="H344" s="8">
        <v>76</v>
      </c>
      <c r="I344" s="8">
        <v>106</v>
      </c>
      <c r="J344" s="8">
        <f>0.1*0.215*1.115*3</f>
        <v>7.1917499999999995E-2</v>
      </c>
      <c r="K344" s="8">
        <v>850</v>
      </c>
      <c r="M344" s="8">
        <v>1.2</v>
      </c>
      <c r="N344" s="8">
        <v>2.1800000000000002</v>
      </c>
      <c r="O344" s="8">
        <v>3.8</v>
      </c>
      <c r="P344" s="8">
        <f t="shared" si="84"/>
        <v>73.35584999999999</v>
      </c>
      <c r="Q344" s="8">
        <f t="shared" si="85"/>
        <v>133.2631275</v>
      </c>
      <c r="R344" s="8">
        <f t="shared" si="86"/>
        <v>232.29352499999999</v>
      </c>
    </row>
    <row r="345" spans="1:18" ht="48" x14ac:dyDescent="0.2">
      <c r="A345" s="9" t="s">
        <v>19</v>
      </c>
      <c r="B345" s="10" t="s">
        <v>482</v>
      </c>
      <c r="C345" s="8">
        <v>1</v>
      </c>
      <c r="D345" s="11" t="s">
        <v>36</v>
      </c>
      <c r="E345" s="12">
        <v>39.65</v>
      </c>
      <c r="F345" s="12">
        <v>39.65</v>
      </c>
      <c r="G345" s="8">
        <v>51</v>
      </c>
      <c r="H345" s="8">
        <v>76</v>
      </c>
      <c r="I345" s="8">
        <v>106</v>
      </c>
      <c r="J345" s="8">
        <f>0.1*0.215*1.275</f>
        <v>2.7412499999999999E-2</v>
      </c>
      <c r="K345" s="8">
        <v>850</v>
      </c>
      <c r="M345" s="8">
        <v>1.2</v>
      </c>
      <c r="N345" s="8">
        <v>2.1800000000000002</v>
      </c>
      <c r="O345" s="8">
        <v>3.8</v>
      </c>
      <c r="P345" s="8">
        <f>M345*K345*J345</f>
        <v>27.960750000000001</v>
      </c>
      <c r="Q345" s="8">
        <f t="shared" si="85"/>
        <v>50.795362500000003</v>
      </c>
      <c r="R345" s="8">
        <f t="shared" si="86"/>
        <v>88.542374999999993</v>
      </c>
    </row>
    <row r="346" spans="1:18" ht="32" x14ac:dyDescent="0.2">
      <c r="A346" s="9" t="s">
        <v>20</v>
      </c>
      <c r="B346" s="10" t="s">
        <v>483</v>
      </c>
      <c r="C346" s="8">
        <v>3718</v>
      </c>
      <c r="D346" s="11" t="s">
        <v>34</v>
      </c>
      <c r="E346" s="12">
        <v>4.0999999999999996</v>
      </c>
      <c r="F346" s="12">
        <v>15243.8</v>
      </c>
      <c r="G346" s="8">
        <v>39</v>
      </c>
      <c r="H346" s="8">
        <v>56</v>
      </c>
      <c r="I346" s="8">
        <v>72</v>
      </c>
      <c r="J346" s="8">
        <f>0.045*0.089*3718</f>
        <v>14.89059</v>
      </c>
      <c r="K346" s="8">
        <v>630</v>
      </c>
      <c r="M346" s="8">
        <v>0.3</v>
      </c>
      <c r="N346" s="8">
        <v>5.55</v>
      </c>
      <c r="O346" s="8">
        <v>13</v>
      </c>
      <c r="P346" s="8">
        <f t="shared" ref="P346" si="87">M346*K346*J346</f>
        <v>2814.3215099999998</v>
      </c>
      <c r="Q346" s="8">
        <f t="shared" ref="Q346" si="88">N346*K346*J346</f>
        <v>52064.947934999997</v>
      </c>
      <c r="R346" s="8">
        <f t="shared" ref="R346" si="89">O346*K346*J346</f>
        <v>121953.93209999999</v>
      </c>
    </row>
    <row r="347" spans="1:18" ht="48" x14ac:dyDescent="0.2">
      <c r="A347" s="9" t="s">
        <v>21</v>
      </c>
      <c r="B347" s="10" t="s">
        <v>484</v>
      </c>
      <c r="C347" s="8">
        <v>274</v>
      </c>
      <c r="D347" s="11" t="s">
        <v>34</v>
      </c>
      <c r="E347" s="12">
        <v>4.0999999999999996</v>
      </c>
      <c r="F347" s="12">
        <v>1123.4000000000001</v>
      </c>
      <c r="G347" s="8">
        <v>39</v>
      </c>
      <c r="H347" s="8">
        <v>56</v>
      </c>
      <c r="I347" s="8">
        <v>72</v>
      </c>
      <c r="J347" s="8">
        <f>0.045*0.089*274</f>
        <v>1.09737</v>
      </c>
      <c r="K347" s="8">
        <v>630</v>
      </c>
      <c r="M347" s="8">
        <v>0.3</v>
      </c>
      <c r="N347" s="8">
        <v>5.55</v>
      </c>
      <c r="O347" s="8">
        <v>13</v>
      </c>
      <c r="P347" s="8">
        <f t="shared" ref="P347" si="90">M347*K347*J347</f>
        <v>207.40293</v>
      </c>
      <c r="Q347" s="8">
        <f t="shared" ref="Q347" si="91">N347*K347*J347</f>
        <v>3836.954205</v>
      </c>
      <c r="R347" s="8">
        <f t="shared" ref="R347" si="92">O347*K347*J347</f>
        <v>8987.4602999999988</v>
      </c>
    </row>
    <row r="348" spans="1:18" ht="48" x14ac:dyDescent="0.2">
      <c r="A348" s="9" t="s">
        <v>6</v>
      </c>
      <c r="B348" s="10" t="s">
        <v>485</v>
      </c>
      <c r="C348" s="8">
        <v>1385</v>
      </c>
      <c r="D348" s="11" t="s">
        <v>35</v>
      </c>
      <c r="E348" s="12">
        <v>4.9000000000000004</v>
      </c>
      <c r="F348" s="12">
        <v>6786.5</v>
      </c>
      <c r="G348" s="8">
        <v>39</v>
      </c>
      <c r="H348" s="8">
        <v>56</v>
      </c>
      <c r="I348" s="8">
        <v>72</v>
      </c>
      <c r="J348" s="8">
        <f>0.0125*1385</f>
        <v>17.3125</v>
      </c>
      <c r="K348" s="8">
        <v>950</v>
      </c>
      <c r="M348" s="8">
        <v>1.4</v>
      </c>
      <c r="N348" s="8">
        <v>1.8</v>
      </c>
      <c r="O348" s="8">
        <v>3.2</v>
      </c>
      <c r="P348" s="8">
        <f>M348*K348*J348</f>
        <v>23025.625</v>
      </c>
      <c r="Q348" s="8">
        <f>N348*K348*J348</f>
        <v>29604.375</v>
      </c>
      <c r="R348" s="8">
        <f>O348*K348*J348</f>
        <v>52630</v>
      </c>
    </row>
    <row r="349" spans="1:18" ht="64" x14ac:dyDescent="0.2">
      <c r="A349" s="9" t="s">
        <v>9</v>
      </c>
      <c r="B349" s="10" t="s">
        <v>486</v>
      </c>
      <c r="C349" s="8">
        <v>370</v>
      </c>
      <c r="D349" s="11" t="s">
        <v>35</v>
      </c>
      <c r="E349" s="12">
        <v>6.4</v>
      </c>
      <c r="F349" s="12">
        <v>2368</v>
      </c>
      <c r="G349" s="8">
        <v>39</v>
      </c>
      <c r="H349" s="8">
        <v>56</v>
      </c>
      <c r="I349" s="8">
        <v>72</v>
      </c>
      <c r="J349" s="8">
        <f>C349*0.0125</f>
        <v>4.625</v>
      </c>
      <c r="K349" s="8">
        <v>950</v>
      </c>
      <c r="M349" s="8">
        <v>1.4</v>
      </c>
      <c r="N349" s="8">
        <v>1.8</v>
      </c>
      <c r="O349" s="8">
        <v>3.2</v>
      </c>
      <c r="P349" s="8">
        <f t="shared" ref="P349:P350" si="93">M349*K349*J349</f>
        <v>6151.25</v>
      </c>
      <c r="Q349" s="8">
        <f t="shared" ref="Q349:Q350" si="94">N349*K349*J349</f>
        <v>7908.75</v>
      </c>
      <c r="R349" s="8">
        <f t="shared" ref="R349:R350" si="95">O349*K349*J349</f>
        <v>14060</v>
      </c>
    </row>
    <row r="350" spans="1:18" ht="48" x14ac:dyDescent="0.2">
      <c r="A350" s="9" t="s">
        <v>10</v>
      </c>
      <c r="B350" s="10" t="s">
        <v>487</v>
      </c>
      <c r="C350" s="8">
        <v>38</v>
      </c>
      <c r="D350" s="11" t="s">
        <v>35</v>
      </c>
      <c r="E350" s="12">
        <v>11.7</v>
      </c>
      <c r="F350" s="12">
        <v>444.6</v>
      </c>
      <c r="G350" s="8">
        <v>26</v>
      </c>
      <c r="H350" s="8">
        <v>39</v>
      </c>
      <c r="I350" s="8">
        <v>51</v>
      </c>
      <c r="J350" s="8">
        <f>C350*0.0125</f>
        <v>0.47500000000000003</v>
      </c>
      <c r="K350" s="8">
        <v>950</v>
      </c>
      <c r="M350" s="8">
        <v>1.4</v>
      </c>
      <c r="N350" s="8">
        <v>1.8</v>
      </c>
      <c r="O350" s="8">
        <v>3.2</v>
      </c>
      <c r="P350" s="8">
        <f t="shared" si="93"/>
        <v>631.75</v>
      </c>
      <c r="Q350" s="8">
        <f t="shared" si="94"/>
        <v>812.25000000000011</v>
      </c>
      <c r="R350" s="8">
        <f t="shared" si="95"/>
        <v>1444</v>
      </c>
    </row>
    <row r="351" spans="1:18" ht="80" x14ac:dyDescent="0.2">
      <c r="A351" s="9" t="s">
        <v>11</v>
      </c>
      <c r="B351" s="10" t="s">
        <v>488</v>
      </c>
      <c r="C351" s="8">
        <v>417</v>
      </c>
      <c r="D351" s="11" t="s">
        <v>34</v>
      </c>
      <c r="E351" s="12">
        <v>2</v>
      </c>
      <c r="F351" s="12">
        <v>834</v>
      </c>
    </row>
    <row r="352" spans="1:18" ht="80" x14ac:dyDescent="0.2">
      <c r="A352" s="9" t="s">
        <v>12</v>
      </c>
      <c r="B352" s="10" t="s">
        <v>489</v>
      </c>
      <c r="C352" s="8">
        <v>83</v>
      </c>
      <c r="D352" s="11" t="s">
        <v>34</v>
      </c>
      <c r="E352" s="12">
        <v>2</v>
      </c>
      <c r="F352" s="12">
        <v>166</v>
      </c>
    </row>
    <row r="353" spans="1:18" ht="64" x14ac:dyDescent="0.2">
      <c r="A353" s="9" t="s">
        <v>13</v>
      </c>
      <c r="B353" s="10" t="s">
        <v>490</v>
      </c>
      <c r="C353" s="8">
        <v>42</v>
      </c>
      <c r="D353" s="11" t="s">
        <v>34</v>
      </c>
      <c r="E353" s="12">
        <v>3</v>
      </c>
      <c r="F353" s="12">
        <v>126</v>
      </c>
    </row>
    <row r="354" spans="1:18" ht="80" x14ac:dyDescent="0.2">
      <c r="A354" s="9" t="s">
        <v>14</v>
      </c>
      <c r="B354" s="10" t="s">
        <v>491</v>
      </c>
      <c r="C354" s="8">
        <v>635</v>
      </c>
      <c r="D354" s="11" t="s">
        <v>34</v>
      </c>
      <c r="E354" s="12">
        <v>1</v>
      </c>
      <c r="F354" s="12">
        <v>635</v>
      </c>
    </row>
    <row r="355" spans="1:18" ht="16" x14ac:dyDescent="0.2">
      <c r="A355" s="9" t="s">
        <v>15</v>
      </c>
      <c r="B355" s="10" t="s">
        <v>41</v>
      </c>
      <c r="C355" s="8">
        <v>341</v>
      </c>
      <c r="D355" s="11" t="s">
        <v>34</v>
      </c>
      <c r="E355" s="12">
        <v>1.2</v>
      </c>
      <c r="F355" s="12">
        <v>409.2</v>
      </c>
    </row>
    <row r="356" spans="1:18" ht="16" x14ac:dyDescent="0.2">
      <c r="A356" s="9" t="s">
        <v>16</v>
      </c>
      <c r="B356" s="10" t="s">
        <v>100</v>
      </c>
      <c r="C356" s="8">
        <v>211</v>
      </c>
      <c r="D356" s="11" t="s">
        <v>36</v>
      </c>
      <c r="E356" s="12">
        <v>4.5</v>
      </c>
      <c r="F356" s="12">
        <v>949.5</v>
      </c>
    </row>
    <row r="357" spans="1:18" ht="32" x14ac:dyDescent="0.2">
      <c r="A357" s="9" t="s">
        <v>17</v>
      </c>
      <c r="B357" s="10" t="s">
        <v>42</v>
      </c>
      <c r="C357" s="8">
        <v>431</v>
      </c>
      <c r="D357" s="11" t="s">
        <v>35</v>
      </c>
      <c r="E357" s="12">
        <v>9.85</v>
      </c>
      <c r="F357" s="12">
        <v>4245.3500000000004</v>
      </c>
    </row>
    <row r="358" spans="1:18" ht="32" x14ac:dyDescent="0.2">
      <c r="A358" s="9" t="s">
        <v>18</v>
      </c>
      <c r="B358" s="10" t="s">
        <v>43</v>
      </c>
      <c r="C358" s="8">
        <v>847</v>
      </c>
      <c r="D358" s="11" t="s">
        <v>35</v>
      </c>
      <c r="E358" s="12">
        <v>2.7</v>
      </c>
      <c r="F358" s="12">
        <v>2286.9</v>
      </c>
    </row>
    <row r="359" spans="1:18" ht="16" x14ac:dyDescent="0.2">
      <c r="A359" s="9" t="s">
        <v>19</v>
      </c>
      <c r="B359" s="10" t="s">
        <v>44</v>
      </c>
      <c r="C359" s="8">
        <v>65</v>
      </c>
      <c r="D359" s="11" t="s">
        <v>36</v>
      </c>
      <c r="E359" s="12">
        <v>5</v>
      </c>
      <c r="F359" s="12">
        <v>325</v>
      </c>
    </row>
    <row r="360" spans="1:18" ht="16" x14ac:dyDescent="0.2">
      <c r="A360" s="9" t="s">
        <v>20</v>
      </c>
      <c r="B360" s="10" t="s">
        <v>45</v>
      </c>
      <c r="C360" s="8">
        <v>13</v>
      </c>
      <c r="D360" s="11" t="s">
        <v>36</v>
      </c>
      <c r="E360" s="12">
        <v>5</v>
      </c>
      <c r="F360" s="12">
        <v>65</v>
      </c>
    </row>
    <row r="361" spans="1:18" ht="16" x14ac:dyDescent="0.2">
      <c r="A361" s="9" t="s">
        <v>21</v>
      </c>
      <c r="B361" s="10" t="s">
        <v>46</v>
      </c>
      <c r="C361" s="8">
        <v>6</v>
      </c>
      <c r="D361" s="11" t="s">
        <v>36</v>
      </c>
      <c r="E361" s="12">
        <v>5</v>
      </c>
      <c r="F361" s="12">
        <v>30</v>
      </c>
    </row>
    <row r="362" spans="1:18" ht="96" x14ac:dyDescent="0.2">
      <c r="A362" s="9" t="s">
        <v>6</v>
      </c>
      <c r="B362" s="10" t="s">
        <v>492</v>
      </c>
      <c r="C362" s="8">
        <v>86</v>
      </c>
      <c r="D362" s="11" t="s">
        <v>34</v>
      </c>
      <c r="E362" s="12">
        <v>35.65</v>
      </c>
      <c r="F362" s="12">
        <v>3065.9</v>
      </c>
      <c r="G362" s="8">
        <v>18</v>
      </c>
      <c r="H362" s="8">
        <v>22</v>
      </c>
      <c r="I362" s="8">
        <v>33</v>
      </c>
      <c r="J362" s="8">
        <f>0.6*C362*0.015*2</f>
        <v>1.548</v>
      </c>
      <c r="K362" s="8">
        <v>950</v>
      </c>
      <c r="M362" s="8">
        <v>1.4</v>
      </c>
      <c r="N362" s="8">
        <v>1.8</v>
      </c>
      <c r="O362" s="8">
        <v>3.2</v>
      </c>
      <c r="P362" s="8">
        <f>M362*K362*J362</f>
        <v>2058.84</v>
      </c>
      <c r="Q362" s="8">
        <f>N362*K362*J362</f>
        <v>2647.08</v>
      </c>
      <c r="R362" s="8">
        <f>O362*K362*J362</f>
        <v>4705.92</v>
      </c>
    </row>
    <row r="363" spans="1:18" ht="96" x14ac:dyDescent="0.2">
      <c r="A363" s="9" t="s">
        <v>9</v>
      </c>
      <c r="B363" s="10" t="s">
        <v>493</v>
      </c>
      <c r="C363" s="8">
        <v>4</v>
      </c>
      <c r="D363" s="11" t="s">
        <v>34</v>
      </c>
      <c r="E363" s="12">
        <v>43.67</v>
      </c>
      <c r="F363" s="12">
        <v>174.68</v>
      </c>
      <c r="G363" s="8">
        <v>18</v>
      </c>
      <c r="H363" s="8">
        <v>22</v>
      </c>
      <c r="I363" s="8">
        <v>33</v>
      </c>
      <c r="J363" s="8">
        <f>750*C363*0.015*2</f>
        <v>90</v>
      </c>
      <c r="K363" s="8">
        <v>950</v>
      </c>
      <c r="M363" s="8">
        <v>1.4</v>
      </c>
      <c r="N363" s="8">
        <v>1.8</v>
      </c>
      <c r="O363" s="8">
        <v>3.2</v>
      </c>
      <c r="P363" s="8">
        <f t="shared" ref="P363" si="96">M363*K363*J363</f>
        <v>119700</v>
      </c>
      <c r="Q363" s="8">
        <f t="shared" ref="Q363" si="97">N363*K363*J363</f>
        <v>153900</v>
      </c>
      <c r="R363" s="8">
        <f t="shared" ref="R363" si="98">O363*K363*J363</f>
        <v>273600</v>
      </c>
    </row>
    <row r="364" spans="1:18" ht="80" x14ac:dyDescent="0.2">
      <c r="A364" s="9" t="s">
        <v>6</v>
      </c>
      <c r="B364" s="10" t="s">
        <v>494</v>
      </c>
      <c r="C364" s="8">
        <v>5</v>
      </c>
      <c r="D364" s="11" t="s">
        <v>36</v>
      </c>
      <c r="E364" s="12">
        <v>253.43</v>
      </c>
      <c r="F364" s="12">
        <v>1267.1500000000001</v>
      </c>
      <c r="G364" s="8">
        <v>28</v>
      </c>
      <c r="H364" s="8">
        <v>41</v>
      </c>
      <c r="I364" s="8">
        <v>53</v>
      </c>
      <c r="J364" s="8">
        <f>0.035*0.838*1.981*5</f>
        <v>0.29051365000000001</v>
      </c>
      <c r="K364" s="8">
        <v>700</v>
      </c>
      <c r="M364" s="8">
        <v>0.33</v>
      </c>
      <c r="N364" s="8">
        <v>5.38</v>
      </c>
      <c r="O364" s="8">
        <v>16</v>
      </c>
      <c r="P364" s="8">
        <f t="shared" ref="P364:P385" si="99">M364*K364*J364</f>
        <v>67.108653150000009</v>
      </c>
      <c r="Q364" s="8">
        <f t="shared" ref="Q364:Q385" si="100">N364*K364*J364</f>
        <v>1094.0744059000001</v>
      </c>
      <c r="R364" s="8">
        <f t="shared" ref="R364:R385" si="101">O364*K364*J364</f>
        <v>3253.75288</v>
      </c>
    </row>
    <row r="365" spans="1:18" ht="64" x14ac:dyDescent="0.2">
      <c r="A365" s="9" t="s">
        <v>9</v>
      </c>
      <c r="B365" s="10" t="s">
        <v>495</v>
      </c>
      <c r="C365" s="8">
        <v>1</v>
      </c>
      <c r="D365" s="11" t="s">
        <v>36</v>
      </c>
      <c r="E365" s="12">
        <v>303.98</v>
      </c>
      <c r="F365" s="12">
        <v>303.98</v>
      </c>
      <c r="G365" s="8">
        <v>28</v>
      </c>
      <c r="H365" s="8">
        <v>41</v>
      </c>
      <c r="I365" s="8">
        <v>53</v>
      </c>
      <c r="J365" s="8">
        <f>0.035*0.626*1.981</f>
        <v>4.3403710000000005E-2</v>
      </c>
      <c r="K365" s="8">
        <v>700</v>
      </c>
      <c r="M365" s="8">
        <v>0.33</v>
      </c>
      <c r="N365" s="8">
        <v>5.38</v>
      </c>
      <c r="O365" s="8">
        <v>16</v>
      </c>
      <c r="P365" s="8">
        <f t="shared" si="99"/>
        <v>10.026257010000002</v>
      </c>
      <c r="Q365" s="8">
        <f t="shared" si="100"/>
        <v>163.45837186000003</v>
      </c>
      <c r="R365" s="8">
        <f t="shared" si="101"/>
        <v>486.12155200000007</v>
      </c>
    </row>
    <row r="366" spans="1:18" ht="64" x14ac:dyDescent="0.2">
      <c r="A366" s="9" t="s">
        <v>10</v>
      </c>
      <c r="B366" s="10" t="s">
        <v>496</v>
      </c>
      <c r="C366" s="8">
        <v>1</v>
      </c>
      <c r="D366" s="11" t="s">
        <v>36</v>
      </c>
      <c r="E366" s="12">
        <v>474.75</v>
      </c>
      <c r="F366" s="12">
        <v>474.75</v>
      </c>
      <c r="G366" s="8">
        <v>28</v>
      </c>
      <c r="H366" s="8">
        <v>41</v>
      </c>
      <c r="I366" s="8">
        <v>53</v>
      </c>
      <c r="J366" s="8">
        <f>0.035*0.839*2.1</f>
        <v>6.1666500000000006E-2</v>
      </c>
      <c r="K366" s="8">
        <v>700</v>
      </c>
      <c r="M366" s="8">
        <v>0.33</v>
      </c>
      <c r="N366" s="8">
        <v>5.38</v>
      </c>
      <c r="O366" s="8">
        <v>16</v>
      </c>
      <c r="P366" s="8">
        <f t="shared" si="99"/>
        <v>14.244961500000002</v>
      </c>
      <c r="Q366" s="8">
        <f t="shared" si="100"/>
        <v>232.23603900000003</v>
      </c>
      <c r="R366" s="8">
        <f t="shared" si="101"/>
        <v>690.66480000000001</v>
      </c>
    </row>
    <row r="367" spans="1:18" ht="80" x14ac:dyDescent="0.2">
      <c r="A367" s="9" t="s">
        <v>11</v>
      </c>
      <c r="B367" s="10" t="s">
        <v>497</v>
      </c>
      <c r="C367" s="8">
        <v>5</v>
      </c>
      <c r="D367" s="11" t="s">
        <v>36</v>
      </c>
      <c r="E367" s="12">
        <v>241.48</v>
      </c>
      <c r="F367" s="12">
        <v>1207.4000000000001</v>
      </c>
      <c r="G367" s="8">
        <v>28</v>
      </c>
      <c r="H367" s="8">
        <v>41</v>
      </c>
      <c r="I367" s="8">
        <v>53</v>
      </c>
      <c r="J367" s="8">
        <f>0.035*0.838*1.981*5</f>
        <v>0.29051365000000001</v>
      </c>
      <c r="K367" s="8">
        <v>700</v>
      </c>
      <c r="M367" s="8">
        <v>0.33</v>
      </c>
      <c r="N367" s="8">
        <v>5.38</v>
      </c>
      <c r="O367" s="8">
        <v>16</v>
      </c>
      <c r="P367" s="8">
        <f t="shared" si="99"/>
        <v>67.108653150000009</v>
      </c>
      <c r="Q367" s="8">
        <f t="shared" si="100"/>
        <v>1094.0744059000001</v>
      </c>
      <c r="R367" s="8">
        <f t="shared" si="101"/>
        <v>3253.75288</v>
      </c>
    </row>
    <row r="368" spans="1:18" ht="80" x14ac:dyDescent="0.2">
      <c r="A368" s="9" t="s">
        <v>12</v>
      </c>
      <c r="B368" s="10" t="s">
        <v>498</v>
      </c>
      <c r="C368" s="8">
        <v>3</v>
      </c>
      <c r="D368" s="11" t="s">
        <v>36</v>
      </c>
      <c r="E368" s="12">
        <v>248.38</v>
      </c>
      <c r="F368" s="12">
        <v>745.14</v>
      </c>
      <c r="G368" s="8">
        <v>28</v>
      </c>
      <c r="H368" s="8">
        <v>41</v>
      </c>
      <c r="I368" s="8">
        <v>53</v>
      </c>
      <c r="J368" s="8">
        <f>0.035*0.686*1.981*3</f>
        <v>0.14269143000000004</v>
      </c>
      <c r="K368" s="8">
        <v>700</v>
      </c>
      <c r="M368" s="8">
        <v>0.33</v>
      </c>
      <c r="N368" s="8">
        <v>5.38</v>
      </c>
      <c r="O368" s="8">
        <v>16</v>
      </c>
      <c r="P368" s="8">
        <f t="shared" si="99"/>
        <v>32.961720330000006</v>
      </c>
      <c r="Q368" s="8">
        <f t="shared" si="100"/>
        <v>537.37592538000013</v>
      </c>
      <c r="R368" s="8">
        <f t="shared" si="101"/>
        <v>1598.1440160000004</v>
      </c>
    </row>
    <row r="369" spans="1:18" ht="96" x14ac:dyDescent="0.2">
      <c r="A369" s="9" t="s">
        <v>13</v>
      </c>
      <c r="B369" s="10" t="s">
        <v>499</v>
      </c>
      <c r="C369" s="8">
        <v>8</v>
      </c>
      <c r="D369" s="11" t="s">
        <v>36</v>
      </c>
      <c r="E369" s="12">
        <v>256.43</v>
      </c>
      <c r="F369" s="12">
        <v>2051.44</v>
      </c>
      <c r="G369" s="8">
        <v>28</v>
      </c>
      <c r="H369" s="8">
        <v>41</v>
      </c>
      <c r="I369" s="8">
        <v>53</v>
      </c>
      <c r="J369" s="8">
        <f>0.035*0.838*1.981*8</f>
        <v>0.46482184000000004</v>
      </c>
      <c r="K369" s="8">
        <v>700</v>
      </c>
      <c r="M369" s="8">
        <v>0.33</v>
      </c>
      <c r="N369" s="8">
        <v>5.38</v>
      </c>
      <c r="O369" s="8">
        <v>16</v>
      </c>
      <c r="P369" s="8">
        <f t="shared" si="99"/>
        <v>107.37384504000001</v>
      </c>
      <c r="Q369" s="8">
        <f t="shared" si="100"/>
        <v>1750.5190494400001</v>
      </c>
      <c r="R369" s="8">
        <f t="shared" si="101"/>
        <v>5206.0046080000002</v>
      </c>
    </row>
    <row r="370" spans="1:18" ht="80" x14ac:dyDescent="0.2">
      <c r="A370" s="9" t="s">
        <v>14</v>
      </c>
      <c r="B370" s="10" t="s">
        <v>500</v>
      </c>
      <c r="C370" s="8">
        <v>1</v>
      </c>
      <c r="D370" s="11" t="s">
        <v>36</v>
      </c>
      <c r="E370" s="12">
        <v>285.08</v>
      </c>
      <c r="F370" s="12">
        <v>285.08</v>
      </c>
      <c r="G370" s="8">
        <v>28</v>
      </c>
      <c r="H370" s="8">
        <v>41</v>
      </c>
      <c r="I370" s="8">
        <v>53</v>
      </c>
      <c r="J370" s="8">
        <f>0.035*0.726*1.981</f>
        <v>5.0337210000000007E-2</v>
      </c>
      <c r="K370" s="8">
        <v>700</v>
      </c>
      <c r="M370" s="8">
        <v>0.33</v>
      </c>
      <c r="N370" s="8">
        <v>5.38</v>
      </c>
      <c r="O370" s="8">
        <v>16</v>
      </c>
      <c r="P370" s="8">
        <f t="shared" si="99"/>
        <v>11.627895510000002</v>
      </c>
      <c r="Q370" s="8">
        <f t="shared" si="100"/>
        <v>189.56993286000002</v>
      </c>
      <c r="R370" s="8">
        <f t="shared" si="101"/>
        <v>563.7767520000001</v>
      </c>
    </row>
    <row r="371" spans="1:18" ht="80" x14ac:dyDescent="0.2">
      <c r="A371" s="9" t="s">
        <v>15</v>
      </c>
      <c r="B371" s="10" t="s">
        <v>501</v>
      </c>
      <c r="C371" s="8">
        <v>2</v>
      </c>
      <c r="D371" s="11" t="s">
        <v>36</v>
      </c>
      <c r="E371" s="12">
        <v>485.2</v>
      </c>
      <c r="F371" s="12">
        <v>970.4</v>
      </c>
      <c r="G371" s="8">
        <v>28</v>
      </c>
      <c r="H371" s="8">
        <v>41</v>
      </c>
      <c r="I371" s="8">
        <v>53</v>
      </c>
      <c r="J371" s="8">
        <f>0.035*1.062*1.981*2</f>
        <v>0.14726754000000003</v>
      </c>
      <c r="K371" s="8">
        <v>700</v>
      </c>
      <c r="M371" s="8">
        <v>0.33</v>
      </c>
      <c r="N371" s="8">
        <v>5.38</v>
      </c>
      <c r="O371" s="8">
        <v>16</v>
      </c>
      <c r="P371" s="8">
        <f t="shared" si="99"/>
        <v>34.018801740000008</v>
      </c>
      <c r="Q371" s="8">
        <f t="shared" si="100"/>
        <v>554.60955564000017</v>
      </c>
      <c r="R371" s="8">
        <f t="shared" si="101"/>
        <v>1649.3964480000004</v>
      </c>
    </row>
    <row r="372" spans="1:18" ht="80" x14ac:dyDescent="0.2">
      <c r="A372" s="9" t="s">
        <v>16</v>
      </c>
      <c r="B372" s="10" t="s">
        <v>502</v>
      </c>
      <c r="C372" s="8">
        <v>5</v>
      </c>
      <c r="D372" s="11" t="s">
        <v>36</v>
      </c>
      <c r="E372" s="12">
        <v>244.48</v>
      </c>
      <c r="F372" s="12">
        <v>1222.4000000000001</v>
      </c>
      <c r="G372" s="8">
        <v>28</v>
      </c>
      <c r="H372" s="8">
        <v>41</v>
      </c>
      <c r="I372" s="8">
        <v>53</v>
      </c>
      <c r="J372" s="8">
        <f>0.035*0.838*1.981*5</f>
        <v>0.29051365000000001</v>
      </c>
      <c r="K372" s="8">
        <v>700</v>
      </c>
      <c r="M372" s="8">
        <v>0.33</v>
      </c>
      <c r="N372" s="8">
        <v>5.38</v>
      </c>
      <c r="O372" s="8">
        <v>16</v>
      </c>
      <c r="P372" s="8">
        <f t="shared" si="99"/>
        <v>67.108653150000009</v>
      </c>
      <c r="Q372" s="8">
        <f t="shared" si="100"/>
        <v>1094.0744059000001</v>
      </c>
      <c r="R372" s="8">
        <f t="shared" si="101"/>
        <v>3253.75288</v>
      </c>
    </row>
    <row r="373" spans="1:18" ht="64" x14ac:dyDescent="0.2">
      <c r="A373" s="9" t="s">
        <v>17</v>
      </c>
      <c r="B373" s="10" t="s">
        <v>503</v>
      </c>
      <c r="C373" s="8">
        <v>1</v>
      </c>
      <c r="D373" s="11" t="s">
        <v>36</v>
      </c>
      <c r="E373" s="12">
        <v>306.98</v>
      </c>
      <c r="F373" s="12">
        <v>306.98</v>
      </c>
      <c r="G373" s="8">
        <v>28</v>
      </c>
      <c r="H373" s="8">
        <v>41</v>
      </c>
      <c r="I373" s="8">
        <v>53</v>
      </c>
      <c r="J373" s="8">
        <f>0.035*0.626*1.981</f>
        <v>4.3403710000000005E-2</v>
      </c>
      <c r="K373" s="8">
        <v>700</v>
      </c>
      <c r="M373" s="8">
        <v>0.33</v>
      </c>
      <c r="N373" s="8">
        <v>5.38</v>
      </c>
      <c r="O373" s="8">
        <v>16</v>
      </c>
      <c r="P373" s="8">
        <f t="shared" si="99"/>
        <v>10.026257010000002</v>
      </c>
      <c r="Q373" s="8">
        <f t="shared" si="100"/>
        <v>163.45837186000003</v>
      </c>
      <c r="R373" s="8">
        <f t="shared" si="101"/>
        <v>486.12155200000007</v>
      </c>
    </row>
    <row r="374" spans="1:18" ht="64" x14ac:dyDescent="0.2">
      <c r="A374" s="9" t="s">
        <v>18</v>
      </c>
      <c r="B374" s="10" t="s">
        <v>504</v>
      </c>
      <c r="C374" s="8">
        <v>1</v>
      </c>
      <c r="D374" s="11" t="s">
        <v>36</v>
      </c>
      <c r="E374" s="12">
        <v>239.43</v>
      </c>
      <c r="F374" s="12">
        <v>239.43</v>
      </c>
      <c r="G374" s="8">
        <v>28</v>
      </c>
      <c r="H374" s="8">
        <v>41</v>
      </c>
      <c r="I374" s="8">
        <v>53</v>
      </c>
      <c r="J374" s="8">
        <f>0.035*0.762*1.981</f>
        <v>5.2833270000000009E-2</v>
      </c>
      <c r="K374" s="8">
        <v>700</v>
      </c>
      <c r="M374" s="8">
        <v>0.33</v>
      </c>
      <c r="N374" s="8">
        <v>5.38</v>
      </c>
      <c r="O374" s="8">
        <v>16</v>
      </c>
      <c r="P374" s="8">
        <f t="shared" si="99"/>
        <v>12.204485370000002</v>
      </c>
      <c r="Q374" s="8">
        <f t="shared" si="100"/>
        <v>198.97009482000004</v>
      </c>
      <c r="R374" s="8">
        <f t="shared" si="101"/>
        <v>591.7326240000001</v>
      </c>
    </row>
    <row r="375" spans="1:18" ht="64" x14ac:dyDescent="0.2">
      <c r="A375" s="9" t="s">
        <v>19</v>
      </c>
      <c r="B375" s="10" t="s">
        <v>505</v>
      </c>
      <c r="C375" s="8">
        <v>2</v>
      </c>
      <c r="D375" s="11" t="s">
        <v>36</v>
      </c>
      <c r="E375" s="12">
        <v>451.45</v>
      </c>
      <c r="F375" s="12">
        <v>902.9</v>
      </c>
      <c r="G375" s="8">
        <v>28</v>
      </c>
      <c r="H375" s="8">
        <v>41</v>
      </c>
      <c r="I375" s="8">
        <v>53</v>
      </c>
      <c r="J375" s="8">
        <f>0.035*1.07*1.981*2</f>
        <v>0.14837690000000003</v>
      </c>
      <c r="K375" s="8">
        <v>700</v>
      </c>
      <c r="M375" s="8">
        <v>0.33</v>
      </c>
      <c r="N375" s="8">
        <v>5.38</v>
      </c>
      <c r="O375" s="8">
        <v>16</v>
      </c>
      <c r="P375" s="8">
        <f t="shared" si="99"/>
        <v>34.275063900000006</v>
      </c>
      <c r="Q375" s="8">
        <f t="shared" si="100"/>
        <v>558.78740540000013</v>
      </c>
      <c r="R375" s="8">
        <f t="shared" si="101"/>
        <v>1661.8212800000003</v>
      </c>
    </row>
    <row r="376" spans="1:18" ht="80" x14ac:dyDescent="0.2">
      <c r="A376" s="9" t="s">
        <v>6</v>
      </c>
      <c r="B376" s="10" t="s">
        <v>506</v>
      </c>
      <c r="C376" s="8">
        <v>2</v>
      </c>
      <c r="D376" s="11" t="s">
        <v>36</v>
      </c>
      <c r="E376" s="12">
        <v>403.06</v>
      </c>
      <c r="F376" s="12">
        <v>806.12</v>
      </c>
      <c r="G376" s="8">
        <v>28</v>
      </c>
      <c r="H376" s="8">
        <v>41</v>
      </c>
      <c r="I376" s="8">
        <v>55</v>
      </c>
      <c r="J376" s="8">
        <f>0.035*0.838*1.981*2</f>
        <v>0.11620546000000001</v>
      </c>
      <c r="K376" s="8">
        <v>700</v>
      </c>
      <c r="M376" s="8">
        <v>0.33</v>
      </c>
      <c r="N376" s="8">
        <v>5.38</v>
      </c>
      <c r="O376" s="8">
        <v>16</v>
      </c>
      <c r="P376" s="8">
        <f t="shared" si="99"/>
        <v>26.843461260000002</v>
      </c>
      <c r="Q376" s="8">
        <f t="shared" si="100"/>
        <v>437.62976236000003</v>
      </c>
      <c r="R376" s="8">
        <f t="shared" si="101"/>
        <v>1301.501152</v>
      </c>
    </row>
    <row r="377" spans="1:18" ht="80" x14ac:dyDescent="0.2">
      <c r="A377" s="9" t="s">
        <v>9</v>
      </c>
      <c r="B377" s="10" t="s">
        <v>507</v>
      </c>
      <c r="C377" s="8">
        <v>2</v>
      </c>
      <c r="D377" s="11" t="s">
        <v>36</v>
      </c>
      <c r="E377" s="12">
        <v>403.06</v>
      </c>
      <c r="F377" s="12">
        <v>806.12</v>
      </c>
      <c r="G377" s="8">
        <v>28</v>
      </c>
      <c r="H377" s="8">
        <v>41</v>
      </c>
      <c r="I377" s="8">
        <v>55</v>
      </c>
      <c r="J377" s="8">
        <f>0.035*0.838*1.981*2</f>
        <v>0.11620546000000001</v>
      </c>
      <c r="K377" s="8">
        <v>700</v>
      </c>
      <c r="M377" s="8">
        <v>0.33</v>
      </c>
      <c r="N377" s="8">
        <v>5.38</v>
      </c>
      <c r="O377" s="8">
        <v>16</v>
      </c>
      <c r="P377" s="8">
        <f t="shared" si="99"/>
        <v>26.843461260000002</v>
      </c>
      <c r="Q377" s="8">
        <f t="shared" si="100"/>
        <v>437.62976236000003</v>
      </c>
      <c r="R377" s="8">
        <f t="shared" si="101"/>
        <v>1301.501152</v>
      </c>
    </row>
    <row r="378" spans="1:18" ht="96" x14ac:dyDescent="0.2">
      <c r="A378" s="9" t="s">
        <v>10</v>
      </c>
      <c r="B378" s="10" t="s">
        <v>508</v>
      </c>
      <c r="C378" s="8">
        <v>4</v>
      </c>
      <c r="D378" s="11" t="s">
        <v>36</v>
      </c>
      <c r="E378" s="12">
        <v>592.42999999999995</v>
      </c>
      <c r="F378" s="12">
        <v>2369.7199999999998</v>
      </c>
      <c r="G378" s="8">
        <v>28</v>
      </c>
      <c r="H378" s="8">
        <v>41</v>
      </c>
      <c r="I378" s="8">
        <v>55</v>
      </c>
      <c r="J378" s="8">
        <f>0.035*0.838*1.981*4</f>
        <v>0.23241092000000002</v>
      </c>
      <c r="K378" s="8">
        <v>700</v>
      </c>
      <c r="M378" s="8">
        <v>0.33</v>
      </c>
      <c r="N378" s="8">
        <v>5.38</v>
      </c>
      <c r="O378" s="8">
        <v>16</v>
      </c>
      <c r="P378" s="8">
        <f t="shared" si="99"/>
        <v>53.686922520000003</v>
      </c>
      <c r="Q378" s="8">
        <f t="shared" si="100"/>
        <v>875.25952472000006</v>
      </c>
      <c r="R378" s="8">
        <f t="shared" si="101"/>
        <v>2603.0023040000001</v>
      </c>
    </row>
    <row r="379" spans="1:18" ht="64" x14ac:dyDescent="0.2">
      <c r="A379" s="9" t="s">
        <v>11</v>
      </c>
      <c r="B379" s="10" t="s">
        <v>509</v>
      </c>
      <c r="C379" s="8">
        <v>1</v>
      </c>
      <c r="D379" s="11" t="s">
        <v>36</v>
      </c>
      <c r="E379" s="12">
        <v>592.42999999999995</v>
      </c>
      <c r="F379" s="12">
        <v>592.42999999999995</v>
      </c>
      <c r="G379" s="8">
        <v>28</v>
      </c>
      <c r="H379" s="8">
        <v>41</v>
      </c>
      <c r="I379" s="8">
        <v>55</v>
      </c>
      <c r="J379" s="8">
        <f>0.035*0.838*1.981</f>
        <v>5.8102730000000005E-2</v>
      </c>
      <c r="K379" s="8">
        <v>700</v>
      </c>
      <c r="M379" s="8">
        <v>0.33</v>
      </c>
      <c r="N379" s="8">
        <v>5.38</v>
      </c>
      <c r="O379" s="8">
        <v>16</v>
      </c>
      <c r="P379" s="8">
        <f t="shared" si="99"/>
        <v>13.421730630000001</v>
      </c>
      <c r="Q379" s="8">
        <f t="shared" si="100"/>
        <v>218.81488118000001</v>
      </c>
      <c r="R379" s="8">
        <f t="shared" si="101"/>
        <v>650.75057600000002</v>
      </c>
    </row>
    <row r="380" spans="1:18" ht="96" x14ac:dyDescent="0.2">
      <c r="A380" s="9" t="s">
        <v>12</v>
      </c>
      <c r="B380" s="10" t="s">
        <v>510</v>
      </c>
      <c r="C380" s="8">
        <v>10</v>
      </c>
      <c r="D380" s="11" t="s">
        <v>36</v>
      </c>
      <c r="E380" s="12">
        <v>205.97</v>
      </c>
      <c r="F380" s="12">
        <v>2059.6999999999998</v>
      </c>
      <c r="G380" s="8">
        <v>28</v>
      </c>
      <c r="H380" s="8">
        <v>41</v>
      </c>
      <c r="I380" s="8">
        <v>55</v>
      </c>
      <c r="J380" s="8">
        <f>0.035*0.838*1.981*10</f>
        <v>0.58102730000000002</v>
      </c>
      <c r="K380" s="8">
        <v>700</v>
      </c>
      <c r="M380" s="8">
        <v>0.33</v>
      </c>
      <c r="N380" s="8">
        <v>5.38</v>
      </c>
      <c r="O380" s="8">
        <v>16</v>
      </c>
      <c r="P380" s="8">
        <f t="shared" si="99"/>
        <v>134.21730630000002</v>
      </c>
      <c r="Q380" s="8">
        <f t="shared" si="100"/>
        <v>2188.1488118000002</v>
      </c>
      <c r="R380" s="8">
        <f t="shared" si="101"/>
        <v>6507.50576</v>
      </c>
    </row>
    <row r="381" spans="1:18" ht="96" x14ac:dyDescent="0.2">
      <c r="A381" s="9" t="s">
        <v>13</v>
      </c>
      <c r="B381" s="10" t="s">
        <v>511</v>
      </c>
      <c r="C381" s="8">
        <v>11</v>
      </c>
      <c r="D381" s="11" t="s">
        <v>36</v>
      </c>
      <c r="E381" s="12">
        <v>205.97</v>
      </c>
      <c r="F381" s="12">
        <v>2265.67</v>
      </c>
      <c r="G381" s="8">
        <v>28</v>
      </c>
      <c r="H381" s="8">
        <v>41</v>
      </c>
      <c r="I381" s="8">
        <v>55</v>
      </c>
      <c r="J381" s="8">
        <f>0.035*0.838*1.981*11</f>
        <v>0.63913003000000002</v>
      </c>
      <c r="K381" s="8">
        <v>700</v>
      </c>
      <c r="M381" s="8">
        <v>0.33</v>
      </c>
      <c r="N381" s="8">
        <v>5.38</v>
      </c>
      <c r="O381" s="8">
        <v>16</v>
      </c>
      <c r="P381" s="8">
        <f t="shared" si="99"/>
        <v>147.63903693</v>
      </c>
      <c r="Q381" s="8">
        <f t="shared" si="100"/>
        <v>2406.9636929799999</v>
      </c>
      <c r="R381" s="8">
        <f t="shared" si="101"/>
        <v>7158.2563360000004</v>
      </c>
    </row>
    <row r="382" spans="1:18" ht="80" x14ac:dyDescent="0.2">
      <c r="A382" s="9" t="s">
        <v>14</v>
      </c>
      <c r="B382" s="10" t="s">
        <v>512</v>
      </c>
      <c r="C382" s="8">
        <v>1</v>
      </c>
      <c r="D382" s="11" t="s">
        <v>36</v>
      </c>
      <c r="E382" s="12">
        <v>201.4</v>
      </c>
      <c r="F382" s="12">
        <v>201.4</v>
      </c>
      <c r="G382" s="8">
        <v>28</v>
      </c>
      <c r="H382" s="8">
        <v>41</v>
      </c>
      <c r="I382" s="8">
        <v>55</v>
      </c>
      <c r="J382" s="8">
        <f>0.035*0.762*1.981</f>
        <v>5.2833270000000009E-2</v>
      </c>
      <c r="K382" s="8">
        <v>700</v>
      </c>
      <c r="M382" s="8">
        <v>0.33</v>
      </c>
      <c r="N382" s="8">
        <v>5.38</v>
      </c>
      <c r="O382" s="8">
        <v>16</v>
      </c>
      <c r="P382" s="8">
        <f t="shared" si="99"/>
        <v>12.204485370000002</v>
      </c>
      <c r="Q382" s="8">
        <f t="shared" si="100"/>
        <v>198.97009482000004</v>
      </c>
      <c r="R382" s="8">
        <f t="shared" si="101"/>
        <v>591.7326240000001</v>
      </c>
    </row>
    <row r="383" spans="1:18" ht="112" x14ac:dyDescent="0.2">
      <c r="A383" s="9" t="s">
        <v>15</v>
      </c>
      <c r="B383" s="10" t="s">
        <v>513</v>
      </c>
      <c r="C383" s="8">
        <v>13</v>
      </c>
      <c r="D383" s="11" t="s">
        <v>36</v>
      </c>
      <c r="E383" s="12">
        <v>217.92</v>
      </c>
      <c r="F383" s="12">
        <v>2832.96</v>
      </c>
      <c r="G383" s="8">
        <v>28</v>
      </c>
      <c r="H383" s="8">
        <v>41</v>
      </c>
      <c r="I383" s="8">
        <v>55</v>
      </c>
      <c r="J383" s="8">
        <f>0.035*0.838*1.981*13</f>
        <v>0.75533549000000011</v>
      </c>
      <c r="K383" s="8">
        <v>700</v>
      </c>
      <c r="M383" s="8">
        <v>0.33</v>
      </c>
      <c r="N383" s="8">
        <v>5.38</v>
      </c>
      <c r="O383" s="8">
        <v>16</v>
      </c>
      <c r="P383" s="8">
        <f t="shared" si="99"/>
        <v>174.48249819000003</v>
      </c>
      <c r="Q383" s="8">
        <f t="shared" si="100"/>
        <v>2844.5934553400002</v>
      </c>
      <c r="R383" s="8">
        <f t="shared" si="101"/>
        <v>8459.7574880000011</v>
      </c>
    </row>
    <row r="384" spans="1:18" ht="96" x14ac:dyDescent="0.2">
      <c r="A384" s="9" t="s">
        <v>16</v>
      </c>
      <c r="B384" s="10" t="s">
        <v>514</v>
      </c>
      <c r="C384" s="8">
        <v>3</v>
      </c>
      <c r="D384" s="11" t="s">
        <v>36</v>
      </c>
      <c r="E384" s="12">
        <v>249.02</v>
      </c>
      <c r="F384" s="12">
        <v>747.06</v>
      </c>
      <c r="G384" s="8">
        <v>28</v>
      </c>
      <c r="H384" s="8">
        <v>41</v>
      </c>
      <c r="I384" s="8">
        <v>55</v>
      </c>
      <c r="J384" s="8">
        <f>0.035*0.626*1.447*3</f>
        <v>9.5111310000000018E-2</v>
      </c>
      <c r="K384" s="8">
        <v>700</v>
      </c>
      <c r="M384" s="8">
        <v>0.33</v>
      </c>
      <c r="N384" s="8">
        <v>5.38</v>
      </c>
      <c r="O384" s="8">
        <v>16</v>
      </c>
      <c r="P384" s="8">
        <f t="shared" si="99"/>
        <v>21.970712610000003</v>
      </c>
      <c r="Q384" s="8">
        <f t="shared" si="100"/>
        <v>358.18919346000007</v>
      </c>
      <c r="R384" s="8">
        <f t="shared" si="101"/>
        <v>1065.2466720000002</v>
      </c>
    </row>
    <row r="385" spans="1:18" ht="96" x14ac:dyDescent="0.2">
      <c r="A385" s="9" t="s">
        <v>17</v>
      </c>
      <c r="B385" s="10" t="s">
        <v>515</v>
      </c>
      <c r="C385" s="8">
        <v>2</v>
      </c>
      <c r="D385" s="11" t="s">
        <v>36</v>
      </c>
      <c r="E385" s="12">
        <v>482.46</v>
      </c>
      <c r="F385" s="12">
        <v>964.92</v>
      </c>
      <c r="G385" s="8">
        <v>28</v>
      </c>
      <c r="H385" s="8">
        <v>41</v>
      </c>
      <c r="I385" s="8">
        <v>55</v>
      </c>
      <c r="J385" s="8">
        <f>0.035*1062*1.981*2</f>
        <v>147.26754000000003</v>
      </c>
      <c r="K385" s="8">
        <v>700</v>
      </c>
      <c r="M385" s="8">
        <v>0.33</v>
      </c>
      <c r="N385" s="8">
        <v>5.38</v>
      </c>
      <c r="O385" s="8">
        <v>16</v>
      </c>
      <c r="P385" s="8">
        <f t="shared" si="99"/>
        <v>34018.801740000003</v>
      </c>
      <c r="Q385" s="8">
        <f t="shared" si="100"/>
        <v>554609.55564000015</v>
      </c>
      <c r="R385" s="8">
        <f t="shared" si="101"/>
        <v>1649396.4480000003</v>
      </c>
    </row>
    <row r="386" spans="1:18" ht="64" x14ac:dyDescent="0.2">
      <c r="A386" s="9" t="s">
        <v>18</v>
      </c>
      <c r="B386" s="10" t="s">
        <v>516</v>
      </c>
      <c r="C386" s="8">
        <v>1</v>
      </c>
      <c r="D386" s="11" t="s">
        <v>36</v>
      </c>
      <c r="E386" s="12">
        <v>205.97</v>
      </c>
      <c r="F386" s="12">
        <v>205.97</v>
      </c>
      <c r="G386" s="8">
        <v>28</v>
      </c>
      <c r="H386" s="8">
        <v>41</v>
      </c>
      <c r="I386" s="8">
        <v>55</v>
      </c>
      <c r="J386" s="8">
        <f>0.035*0.838*1.981</f>
        <v>5.8102730000000005E-2</v>
      </c>
      <c r="K386" s="8">
        <v>700</v>
      </c>
      <c r="M386" s="8">
        <v>0.33</v>
      </c>
      <c r="N386" s="8">
        <v>5.38</v>
      </c>
      <c r="O386" s="8">
        <v>16</v>
      </c>
      <c r="P386" s="8">
        <f t="shared" ref="P386:P391" si="102">M386*K386*J386</f>
        <v>13.421730630000001</v>
      </c>
      <c r="Q386" s="8">
        <f t="shared" ref="Q386:Q391" si="103">N386*K386*J386</f>
        <v>218.81488118000001</v>
      </c>
      <c r="R386" s="8">
        <f t="shared" ref="R386:R391" si="104">O386*K386*J386</f>
        <v>650.75057600000002</v>
      </c>
    </row>
    <row r="387" spans="1:18" ht="64" x14ac:dyDescent="0.2">
      <c r="A387" s="9" t="s">
        <v>6</v>
      </c>
      <c r="B387" s="10" t="s">
        <v>517</v>
      </c>
      <c r="C387" s="8">
        <v>1</v>
      </c>
      <c r="D387" s="11" t="s">
        <v>36</v>
      </c>
      <c r="E387" s="12">
        <v>254.52</v>
      </c>
      <c r="F387" s="12">
        <v>254.52</v>
      </c>
      <c r="G387" s="8">
        <v>28</v>
      </c>
      <c r="H387" s="8">
        <v>41</v>
      </c>
      <c r="I387" s="8">
        <v>53</v>
      </c>
      <c r="J387" s="8">
        <f>0.035*0.838*1.981</f>
        <v>5.8102730000000005E-2</v>
      </c>
      <c r="K387" s="8">
        <v>700</v>
      </c>
      <c r="M387" s="8">
        <v>0.33</v>
      </c>
      <c r="N387" s="8">
        <v>5.38</v>
      </c>
      <c r="O387" s="8">
        <v>16</v>
      </c>
      <c r="P387" s="8">
        <f t="shared" si="102"/>
        <v>13.421730630000001</v>
      </c>
      <c r="Q387" s="8">
        <f t="shared" si="103"/>
        <v>218.81488118000001</v>
      </c>
      <c r="R387" s="8">
        <f t="shared" si="104"/>
        <v>650.75057600000002</v>
      </c>
    </row>
    <row r="388" spans="1:18" ht="64" x14ac:dyDescent="0.2">
      <c r="A388" s="9" t="s">
        <v>9</v>
      </c>
      <c r="B388" s="10" t="s">
        <v>518</v>
      </c>
      <c r="C388" s="8">
        <v>1</v>
      </c>
      <c r="D388" s="11" t="s">
        <v>36</v>
      </c>
      <c r="E388" s="12">
        <v>299.49</v>
      </c>
      <c r="F388" s="12">
        <v>299.49</v>
      </c>
      <c r="G388" s="8">
        <v>28</v>
      </c>
      <c r="H388" s="8">
        <v>41</v>
      </c>
      <c r="I388" s="8">
        <v>53</v>
      </c>
      <c r="J388" s="8">
        <f>0.035*0.726*1.981</f>
        <v>5.0337210000000007E-2</v>
      </c>
      <c r="K388" s="8">
        <v>700</v>
      </c>
      <c r="M388" s="8">
        <v>0.33</v>
      </c>
      <c r="N388" s="8">
        <v>5.38</v>
      </c>
      <c r="O388" s="8">
        <v>16</v>
      </c>
      <c r="P388" s="8">
        <f t="shared" si="102"/>
        <v>11.627895510000002</v>
      </c>
      <c r="Q388" s="8">
        <f t="shared" si="103"/>
        <v>189.56993286000002</v>
      </c>
      <c r="R388" s="8">
        <f t="shared" si="104"/>
        <v>563.7767520000001</v>
      </c>
    </row>
    <row r="389" spans="1:18" ht="64" x14ac:dyDescent="0.2">
      <c r="A389" s="9" t="s">
        <v>10</v>
      </c>
      <c r="B389" s="10" t="s">
        <v>519</v>
      </c>
      <c r="C389" s="8">
        <v>1</v>
      </c>
      <c r="D389" s="11" t="s">
        <v>36</v>
      </c>
      <c r="E389" s="12">
        <v>262.52</v>
      </c>
      <c r="F389" s="12">
        <v>262.52</v>
      </c>
      <c r="G389" s="8">
        <v>28</v>
      </c>
      <c r="H389" s="8">
        <v>41</v>
      </c>
      <c r="I389" s="8">
        <v>53</v>
      </c>
      <c r="J389" s="8">
        <f>0.035*0.839*1.981</f>
        <v>5.8172065000000009E-2</v>
      </c>
      <c r="K389" s="8">
        <v>700</v>
      </c>
      <c r="M389" s="8">
        <v>0.33</v>
      </c>
      <c r="N389" s="8">
        <v>5.38</v>
      </c>
      <c r="O389" s="8">
        <v>16</v>
      </c>
      <c r="P389" s="8">
        <f t="shared" si="102"/>
        <v>13.437747015000003</v>
      </c>
      <c r="Q389" s="8">
        <f t="shared" si="103"/>
        <v>219.07599679000003</v>
      </c>
      <c r="R389" s="8">
        <f t="shared" si="104"/>
        <v>651.52712800000006</v>
      </c>
    </row>
    <row r="390" spans="1:18" ht="64" x14ac:dyDescent="0.2">
      <c r="A390" s="9" t="s">
        <v>11</v>
      </c>
      <c r="B390" s="10" t="s">
        <v>520</v>
      </c>
      <c r="C390" s="8">
        <v>1</v>
      </c>
      <c r="D390" s="11" t="s">
        <v>36</v>
      </c>
      <c r="E390" s="12">
        <v>299.49</v>
      </c>
      <c r="F390" s="12">
        <v>299.49</v>
      </c>
      <c r="G390" s="8">
        <v>28</v>
      </c>
      <c r="H390" s="8">
        <v>41</v>
      </c>
      <c r="I390" s="8">
        <v>53</v>
      </c>
      <c r="J390" s="8">
        <f>0.035*0.762*1.981</f>
        <v>5.2833270000000009E-2</v>
      </c>
      <c r="K390" s="8">
        <v>700</v>
      </c>
      <c r="M390" s="8">
        <v>0.33</v>
      </c>
      <c r="N390" s="8">
        <v>5.38</v>
      </c>
      <c r="O390" s="8">
        <v>16</v>
      </c>
      <c r="P390" s="8">
        <f t="shared" si="102"/>
        <v>12.204485370000002</v>
      </c>
      <c r="Q390" s="8">
        <f t="shared" si="103"/>
        <v>198.97009482000004</v>
      </c>
      <c r="R390" s="8">
        <f t="shared" si="104"/>
        <v>591.7326240000001</v>
      </c>
    </row>
    <row r="391" spans="1:18" ht="80" x14ac:dyDescent="0.2">
      <c r="A391" s="9" t="s">
        <v>12</v>
      </c>
      <c r="B391" s="10" t="s">
        <v>521</v>
      </c>
      <c r="C391" s="8">
        <v>5</v>
      </c>
      <c r="D391" s="11" t="s">
        <v>36</v>
      </c>
      <c r="E391" s="12">
        <v>541.67999999999995</v>
      </c>
      <c r="F391" s="12">
        <v>2708.4</v>
      </c>
      <c r="G391" s="8">
        <v>28</v>
      </c>
      <c r="H391" s="8">
        <v>41</v>
      </c>
      <c r="I391" s="8">
        <v>53</v>
      </c>
      <c r="J391" s="8">
        <f>0.035*0.926*1.447*5</f>
        <v>0.23448635000000001</v>
      </c>
      <c r="K391" s="8">
        <v>700</v>
      </c>
      <c r="M391" s="8">
        <v>0.33</v>
      </c>
      <c r="N391" s="8">
        <v>5.38</v>
      </c>
      <c r="O391" s="8">
        <v>16</v>
      </c>
      <c r="P391" s="8">
        <f t="shared" si="102"/>
        <v>54.166346850000004</v>
      </c>
      <c r="Q391" s="8">
        <f t="shared" si="103"/>
        <v>883.07559409999999</v>
      </c>
      <c r="R391" s="8">
        <f t="shared" si="104"/>
        <v>2626.24712</v>
      </c>
    </row>
    <row r="392" spans="1:18" ht="48" x14ac:dyDescent="0.2">
      <c r="A392" s="9" t="s">
        <v>13</v>
      </c>
      <c r="B392" s="10" t="s">
        <v>47</v>
      </c>
      <c r="C392" s="8">
        <v>1</v>
      </c>
      <c r="D392" s="11" t="s">
        <v>36</v>
      </c>
      <c r="E392" s="12">
        <v>620</v>
      </c>
      <c r="F392" s="12">
        <v>620</v>
      </c>
      <c r="G392" s="8">
        <v>28</v>
      </c>
      <c r="H392" s="8">
        <v>41</v>
      </c>
      <c r="I392" s="8">
        <v>53</v>
      </c>
      <c r="J392" s="8">
        <f>0.03*1.8288*2.375</f>
        <v>0.130302</v>
      </c>
      <c r="K392" s="8">
        <v>700</v>
      </c>
      <c r="M392" s="8">
        <v>0.33</v>
      </c>
      <c r="N392" s="8">
        <v>5.38</v>
      </c>
      <c r="O392" s="8">
        <v>16</v>
      </c>
      <c r="P392" s="8">
        <f t="shared" ref="P392:P396" si="105">M392*K392*J392</f>
        <v>30.099762000000002</v>
      </c>
      <c r="Q392" s="8">
        <f t="shared" ref="Q392:Q396" si="106">N392*K392*J392</f>
        <v>490.717332</v>
      </c>
      <c r="R392" s="8">
        <f t="shared" ref="R392:R396" si="107">O392*K392*J392</f>
        <v>1459.3824</v>
      </c>
    </row>
    <row r="393" spans="1:18" ht="48" x14ac:dyDescent="0.2">
      <c r="A393" s="9" t="s">
        <v>14</v>
      </c>
      <c r="B393" s="10" t="s">
        <v>48</v>
      </c>
      <c r="C393" s="8">
        <v>2</v>
      </c>
      <c r="D393" s="11" t="s">
        <v>36</v>
      </c>
      <c r="E393" s="12">
        <v>620</v>
      </c>
      <c r="F393" s="12">
        <v>1240</v>
      </c>
      <c r="G393" s="8">
        <v>28</v>
      </c>
      <c r="H393" s="8">
        <v>41</v>
      </c>
      <c r="I393" s="8">
        <v>53</v>
      </c>
      <c r="J393" s="8">
        <f>0.03*1.44*2.375*2</f>
        <v>0.20519999999999997</v>
      </c>
      <c r="K393" s="8">
        <v>700</v>
      </c>
      <c r="M393" s="8">
        <v>0.33</v>
      </c>
      <c r="N393" s="8">
        <v>5.38</v>
      </c>
      <c r="O393" s="8">
        <v>16</v>
      </c>
      <c r="P393" s="8">
        <f t="shared" si="105"/>
        <v>47.401199999999989</v>
      </c>
      <c r="Q393" s="8">
        <f t="shared" si="106"/>
        <v>772.78319999999985</v>
      </c>
      <c r="R393" s="8">
        <f t="shared" si="107"/>
        <v>2298.2399999999998</v>
      </c>
    </row>
    <row r="394" spans="1:18" ht="48" x14ac:dyDescent="0.2">
      <c r="A394" s="9" t="s">
        <v>15</v>
      </c>
      <c r="B394" s="10" t="s">
        <v>49</v>
      </c>
      <c r="C394" s="8">
        <v>2</v>
      </c>
      <c r="D394" s="11" t="s">
        <v>36</v>
      </c>
      <c r="E394" s="12">
        <v>620</v>
      </c>
      <c r="F394" s="12">
        <v>1240</v>
      </c>
      <c r="G394" s="8">
        <v>28</v>
      </c>
      <c r="H394" s="8">
        <v>41</v>
      </c>
      <c r="I394" s="8">
        <v>53</v>
      </c>
      <c r="J394" s="8">
        <f>0.03*2.435*2.375*2</f>
        <v>0.3469875</v>
      </c>
      <c r="K394" s="8">
        <v>700</v>
      </c>
      <c r="M394" s="8">
        <v>0.33</v>
      </c>
      <c r="N394" s="8">
        <v>5.38</v>
      </c>
      <c r="O394" s="8">
        <v>16</v>
      </c>
      <c r="P394" s="8">
        <f t="shared" si="105"/>
        <v>80.154112499999997</v>
      </c>
      <c r="Q394" s="8">
        <f t="shared" si="106"/>
        <v>1306.754925</v>
      </c>
      <c r="R394" s="8">
        <f t="shared" si="107"/>
        <v>3886.26</v>
      </c>
    </row>
    <row r="395" spans="1:18" ht="48" x14ac:dyDescent="0.2">
      <c r="A395" s="9" t="s">
        <v>16</v>
      </c>
      <c r="B395" s="10" t="s">
        <v>50</v>
      </c>
      <c r="C395" s="8">
        <v>2</v>
      </c>
      <c r="D395" s="11" t="s">
        <v>36</v>
      </c>
      <c r="E395" s="12">
        <v>620</v>
      </c>
      <c r="F395" s="12">
        <v>1240</v>
      </c>
      <c r="G395" s="8">
        <v>28</v>
      </c>
      <c r="H395" s="8">
        <v>41</v>
      </c>
      <c r="I395" s="8">
        <v>53</v>
      </c>
      <c r="J395" s="8">
        <f>0.03*1.8288*2*2</f>
        <v>0.21945599999999998</v>
      </c>
      <c r="K395" s="8">
        <v>700</v>
      </c>
      <c r="M395" s="8">
        <v>0.33</v>
      </c>
      <c r="N395" s="8">
        <v>5.38</v>
      </c>
      <c r="O395" s="8">
        <v>16</v>
      </c>
      <c r="P395" s="8">
        <f t="shared" si="105"/>
        <v>50.694336</v>
      </c>
      <c r="Q395" s="8">
        <f t="shared" si="106"/>
        <v>826.47129599999994</v>
      </c>
      <c r="R395" s="8">
        <f t="shared" si="107"/>
        <v>2457.9071999999996</v>
      </c>
    </row>
    <row r="396" spans="1:18" ht="32" x14ac:dyDescent="0.2">
      <c r="A396" s="9" t="s">
        <v>17</v>
      </c>
      <c r="B396" s="10" t="s">
        <v>51</v>
      </c>
      <c r="C396" s="8">
        <v>1</v>
      </c>
      <c r="D396" s="11" t="s">
        <v>36</v>
      </c>
      <c r="E396" s="12">
        <v>620</v>
      </c>
      <c r="F396" s="12">
        <v>620</v>
      </c>
      <c r="G396" s="8">
        <v>28</v>
      </c>
      <c r="H396" s="8">
        <v>41</v>
      </c>
      <c r="I396" s="8">
        <v>53</v>
      </c>
      <c r="J396" s="8">
        <f>0.03*1.825*2.025</f>
        <v>0.11086875</v>
      </c>
      <c r="K396" s="8">
        <v>700</v>
      </c>
      <c r="M396" s="8">
        <v>0.33</v>
      </c>
      <c r="N396" s="8">
        <v>5.38</v>
      </c>
      <c r="O396" s="8">
        <v>16</v>
      </c>
      <c r="P396" s="8">
        <f t="shared" si="105"/>
        <v>25.610681249999999</v>
      </c>
      <c r="Q396" s="8">
        <f t="shared" si="106"/>
        <v>417.53171250000003</v>
      </c>
      <c r="R396" s="8">
        <f t="shared" si="107"/>
        <v>1241.73</v>
      </c>
    </row>
    <row r="397" spans="1:18" ht="16" x14ac:dyDescent="0.2">
      <c r="A397" s="9" t="s">
        <v>6</v>
      </c>
      <c r="B397" s="10" t="s">
        <v>522</v>
      </c>
      <c r="C397" s="8">
        <v>2</v>
      </c>
      <c r="D397" s="11" t="s">
        <v>36</v>
      </c>
      <c r="E397" s="12">
        <v>135</v>
      </c>
      <c r="F397" s="12">
        <v>270</v>
      </c>
      <c r="G397" s="8">
        <v>18</v>
      </c>
      <c r="H397" s="8">
        <v>26</v>
      </c>
      <c r="I397" s="8">
        <v>35</v>
      </c>
      <c r="J397" s="8">
        <f>0.025*0.9*0.9*2</f>
        <v>4.0500000000000008E-2</v>
      </c>
      <c r="K397" s="13">
        <v>1380</v>
      </c>
      <c r="L397" s="13"/>
      <c r="M397" s="13">
        <v>69.400000000000006</v>
      </c>
      <c r="N397" s="13">
        <v>94.7</v>
      </c>
      <c r="O397" s="13">
        <v>120</v>
      </c>
      <c r="P397" s="8">
        <f t="shared" ref="P397:P399" si="108">M397*K397*J397</f>
        <v>3878.7660000000014</v>
      </c>
      <c r="Q397" s="8">
        <f t="shared" ref="Q397:Q399" si="109">N397*K397*J397</f>
        <v>5292.7830000000013</v>
      </c>
      <c r="R397" s="8">
        <f t="shared" ref="R397:R399" si="110">O397*K397*J397</f>
        <v>6706.8000000000011</v>
      </c>
    </row>
    <row r="398" spans="1:18" ht="16" x14ac:dyDescent="0.2">
      <c r="A398" s="9" t="s">
        <v>9</v>
      </c>
      <c r="B398" s="10" t="s">
        <v>523</v>
      </c>
      <c r="C398" s="8">
        <v>2</v>
      </c>
      <c r="D398" s="11" t="s">
        <v>36</v>
      </c>
      <c r="E398" s="12">
        <v>135</v>
      </c>
      <c r="F398" s="12">
        <v>270</v>
      </c>
      <c r="G398" s="8">
        <v>18</v>
      </c>
      <c r="H398" s="8">
        <v>26</v>
      </c>
      <c r="I398" s="8">
        <v>35</v>
      </c>
      <c r="J398" s="8">
        <f>0.025*0.9*0.9*2</f>
        <v>4.0500000000000008E-2</v>
      </c>
      <c r="K398" s="13">
        <v>1380</v>
      </c>
      <c r="L398" s="13"/>
      <c r="M398" s="13">
        <v>69.400000000000006</v>
      </c>
      <c r="N398" s="13">
        <v>94.7</v>
      </c>
      <c r="O398" s="13">
        <v>120</v>
      </c>
      <c r="P398" s="8">
        <f t="shared" si="108"/>
        <v>3878.7660000000014</v>
      </c>
      <c r="Q398" s="8">
        <f t="shared" si="109"/>
        <v>5292.7830000000013</v>
      </c>
      <c r="R398" s="8">
        <f t="shared" si="110"/>
        <v>6706.8000000000011</v>
      </c>
    </row>
    <row r="399" spans="1:18" ht="16" x14ac:dyDescent="0.2">
      <c r="A399" s="9" t="s">
        <v>10</v>
      </c>
      <c r="B399" s="10" t="s">
        <v>524</v>
      </c>
      <c r="C399" s="8">
        <v>1</v>
      </c>
      <c r="D399" s="11" t="s">
        <v>36</v>
      </c>
      <c r="E399" s="12">
        <v>135</v>
      </c>
      <c r="F399" s="12">
        <v>135</v>
      </c>
      <c r="G399" s="8">
        <v>18</v>
      </c>
      <c r="H399" s="8">
        <v>26</v>
      </c>
      <c r="I399" s="8">
        <v>35</v>
      </c>
      <c r="J399" s="8">
        <f>0.025*0.9*0.9</f>
        <v>2.0250000000000004E-2</v>
      </c>
      <c r="K399" s="13">
        <v>1380</v>
      </c>
      <c r="L399" s="13"/>
      <c r="M399" s="13">
        <v>69.400000000000006</v>
      </c>
      <c r="N399" s="13">
        <v>94.7</v>
      </c>
      <c r="O399" s="13">
        <v>120</v>
      </c>
      <c r="P399" s="8">
        <f t="shared" si="108"/>
        <v>1939.3830000000007</v>
      </c>
      <c r="Q399" s="8">
        <f t="shared" si="109"/>
        <v>2646.3915000000006</v>
      </c>
      <c r="R399" s="8">
        <f t="shared" si="110"/>
        <v>3353.4000000000005</v>
      </c>
    </row>
    <row r="400" spans="1:18" ht="32" x14ac:dyDescent="0.2">
      <c r="A400" s="9" t="s">
        <v>11</v>
      </c>
      <c r="B400" s="10" t="s">
        <v>525</v>
      </c>
      <c r="C400" s="8">
        <v>101</v>
      </c>
      <c r="D400" s="11" t="s">
        <v>34</v>
      </c>
      <c r="E400" s="12">
        <v>2.65</v>
      </c>
      <c r="F400" s="12">
        <v>267.64999999999998</v>
      </c>
      <c r="G400" s="8">
        <v>6</v>
      </c>
      <c r="H400" s="8">
        <v>6</v>
      </c>
      <c r="I400" s="8">
        <v>6</v>
      </c>
      <c r="J400" s="8">
        <f>C400*0.3</f>
        <v>30.299999999999997</v>
      </c>
      <c r="M400" s="8">
        <v>10.5</v>
      </c>
      <c r="N400" s="8">
        <v>10.5</v>
      </c>
      <c r="O400" s="8">
        <v>10.5</v>
      </c>
      <c r="P400" s="8">
        <f>M400*J400</f>
        <v>318.14999999999998</v>
      </c>
      <c r="Q400" s="8">
        <f>N400*J400</f>
        <v>318.14999999999998</v>
      </c>
      <c r="R400" s="8">
        <f>O400*J400</f>
        <v>318.14999999999998</v>
      </c>
    </row>
    <row r="401" spans="1:18" ht="32" x14ac:dyDescent="0.2">
      <c r="A401" s="9" t="s">
        <v>12</v>
      </c>
      <c r="B401" s="10" t="s">
        <v>526</v>
      </c>
      <c r="C401" s="8">
        <v>115</v>
      </c>
      <c r="D401" s="11" t="s">
        <v>34</v>
      </c>
      <c r="E401" s="12">
        <v>2.65</v>
      </c>
      <c r="F401" s="12">
        <v>304.75</v>
      </c>
      <c r="G401" s="8">
        <v>6</v>
      </c>
      <c r="H401" s="8">
        <v>6</v>
      </c>
      <c r="I401" s="8">
        <v>6</v>
      </c>
      <c r="J401" s="8">
        <f>0.3*C401</f>
        <v>34.5</v>
      </c>
      <c r="M401" s="8">
        <v>10.5</v>
      </c>
      <c r="N401" s="8">
        <v>10.5</v>
      </c>
      <c r="O401" s="8">
        <v>10.5</v>
      </c>
      <c r="P401" s="8">
        <f t="shared" ref="P401:P403" si="111">M401*J401</f>
        <v>362.25</v>
      </c>
      <c r="Q401" s="8">
        <f t="shared" ref="Q401:Q403" si="112">N401*J401</f>
        <v>362.25</v>
      </c>
      <c r="R401" s="8">
        <f t="shared" ref="R401:R403" si="113">O401*J401</f>
        <v>362.25</v>
      </c>
    </row>
    <row r="402" spans="1:18" ht="32" x14ac:dyDescent="0.2">
      <c r="A402" s="9" t="s">
        <v>13</v>
      </c>
      <c r="B402" s="10" t="s">
        <v>527</v>
      </c>
      <c r="C402" s="8">
        <v>174</v>
      </c>
      <c r="D402" s="11" t="s">
        <v>34</v>
      </c>
      <c r="E402" s="12">
        <v>2.65</v>
      </c>
      <c r="F402" s="12">
        <v>461.1</v>
      </c>
      <c r="G402" s="8">
        <v>6</v>
      </c>
      <c r="H402" s="8">
        <v>6</v>
      </c>
      <c r="I402" s="8">
        <v>6</v>
      </c>
      <c r="J402" s="8">
        <f>0.3*C402</f>
        <v>52.199999999999996</v>
      </c>
      <c r="M402" s="8">
        <v>10.5</v>
      </c>
      <c r="N402" s="8">
        <v>10.5</v>
      </c>
      <c r="O402" s="8">
        <v>10.5</v>
      </c>
      <c r="P402" s="8">
        <f t="shared" si="111"/>
        <v>548.09999999999991</v>
      </c>
      <c r="Q402" s="8">
        <f t="shared" si="112"/>
        <v>548.09999999999991</v>
      </c>
      <c r="R402" s="8">
        <f t="shared" si="113"/>
        <v>548.09999999999991</v>
      </c>
    </row>
    <row r="403" spans="1:18" ht="32" x14ac:dyDescent="0.2">
      <c r="A403" s="9" t="s">
        <v>14</v>
      </c>
      <c r="B403" s="10" t="s">
        <v>528</v>
      </c>
      <c r="C403" s="8">
        <v>53</v>
      </c>
      <c r="D403" s="11" t="s">
        <v>34</v>
      </c>
      <c r="E403" s="12">
        <v>2.65</v>
      </c>
      <c r="F403" s="12">
        <v>140.44999999999999</v>
      </c>
      <c r="G403" s="8">
        <v>6</v>
      </c>
      <c r="H403" s="8">
        <v>6</v>
      </c>
      <c r="I403" s="8">
        <v>6</v>
      </c>
      <c r="J403" s="8">
        <f>0.3*C403</f>
        <v>15.899999999999999</v>
      </c>
      <c r="M403" s="8">
        <v>10.5</v>
      </c>
      <c r="N403" s="8">
        <v>10.5</v>
      </c>
      <c r="O403" s="8">
        <v>10.5</v>
      </c>
      <c r="P403" s="8">
        <f t="shared" si="111"/>
        <v>166.95</v>
      </c>
      <c r="Q403" s="8">
        <f t="shared" si="112"/>
        <v>166.95</v>
      </c>
      <c r="R403" s="8">
        <f t="shared" si="113"/>
        <v>166.95</v>
      </c>
    </row>
    <row r="404" spans="1:18" ht="48" x14ac:dyDescent="0.2">
      <c r="A404" s="9" t="s">
        <v>15</v>
      </c>
      <c r="B404" s="10" t="s">
        <v>529</v>
      </c>
      <c r="C404" s="8">
        <v>187</v>
      </c>
      <c r="D404" s="11" t="s">
        <v>34</v>
      </c>
      <c r="E404" s="12">
        <v>6.7</v>
      </c>
      <c r="F404" s="12">
        <v>1252.9000000000001</v>
      </c>
      <c r="G404" s="8">
        <v>29</v>
      </c>
      <c r="H404" s="8">
        <v>48</v>
      </c>
      <c r="I404" s="8">
        <v>63</v>
      </c>
      <c r="J404" s="8">
        <f>0.02*0.075*187</f>
        <v>0.28050000000000003</v>
      </c>
      <c r="K404" s="13">
        <v>700</v>
      </c>
      <c r="L404" s="13"/>
      <c r="M404" s="13">
        <v>0.33</v>
      </c>
      <c r="N404" s="13">
        <v>5.38</v>
      </c>
      <c r="O404" s="13">
        <v>16</v>
      </c>
      <c r="P404" s="8">
        <f>M404*K404*J404</f>
        <v>64.795500000000004</v>
      </c>
      <c r="Q404" s="8">
        <f>N404*K404*J404</f>
        <v>1056.3630000000001</v>
      </c>
      <c r="R404" s="8">
        <f>O404*K404*J404</f>
        <v>3141.6000000000004</v>
      </c>
    </row>
    <row r="405" spans="1:18" ht="48" x14ac:dyDescent="0.2">
      <c r="A405" s="9" t="s">
        <v>16</v>
      </c>
      <c r="B405" s="10" t="s">
        <v>530</v>
      </c>
      <c r="C405" s="8">
        <v>229</v>
      </c>
      <c r="D405" s="11" t="s">
        <v>34</v>
      </c>
      <c r="E405" s="12">
        <v>6.7</v>
      </c>
      <c r="F405" s="12">
        <v>1534.3</v>
      </c>
      <c r="G405" s="8">
        <v>29</v>
      </c>
      <c r="H405" s="8">
        <v>48</v>
      </c>
      <c r="I405" s="8">
        <v>63</v>
      </c>
      <c r="J405" s="8">
        <f>0.02*0.075*229</f>
        <v>0.34350000000000003</v>
      </c>
      <c r="K405" s="13">
        <v>700</v>
      </c>
      <c r="L405" s="13"/>
      <c r="M405" s="13">
        <v>0.33</v>
      </c>
      <c r="N405" s="13">
        <v>5.38</v>
      </c>
      <c r="O405" s="13">
        <v>16</v>
      </c>
      <c r="P405" s="8">
        <f t="shared" ref="P405:P407" si="114">M405*K405*J405</f>
        <v>79.348500000000001</v>
      </c>
      <c r="Q405" s="8">
        <f t="shared" ref="Q405:Q407" si="115">N405*K405*J405</f>
        <v>1293.6210000000001</v>
      </c>
      <c r="R405" s="8">
        <f t="shared" ref="R405:R407" si="116">O405*K405*J405</f>
        <v>3847.2000000000003</v>
      </c>
    </row>
    <row r="406" spans="1:18" ht="48" x14ac:dyDescent="0.2">
      <c r="A406" s="9" t="s">
        <v>17</v>
      </c>
      <c r="B406" s="10" t="s">
        <v>531</v>
      </c>
      <c r="C406" s="8">
        <v>349</v>
      </c>
      <c r="D406" s="11" t="s">
        <v>34</v>
      </c>
      <c r="E406" s="12">
        <v>6.7</v>
      </c>
      <c r="F406" s="12">
        <v>2338.3000000000002</v>
      </c>
      <c r="G406" s="8">
        <v>29</v>
      </c>
      <c r="H406" s="8">
        <v>48</v>
      </c>
      <c r="I406" s="8">
        <v>63</v>
      </c>
      <c r="J406" s="8">
        <f>0.02*0.075*349</f>
        <v>0.52349999999999997</v>
      </c>
      <c r="K406" s="13">
        <v>700</v>
      </c>
      <c r="L406" s="13"/>
      <c r="M406" s="13">
        <v>0.33</v>
      </c>
      <c r="N406" s="13">
        <v>5.38</v>
      </c>
      <c r="O406" s="13">
        <v>16</v>
      </c>
      <c r="P406" s="8">
        <f t="shared" si="114"/>
        <v>120.92849999999999</v>
      </c>
      <c r="Q406" s="8">
        <f t="shared" si="115"/>
        <v>1971.501</v>
      </c>
      <c r="R406" s="8">
        <f t="shared" si="116"/>
        <v>5863.2</v>
      </c>
    </row>
    <row r="407" spans="1:18" ht="48" x14ac:dyDescent="0.2">
      <c r="A407" s="9" t="s">
        <v>18</v>
      </c>
      <c r="B407" s="10" t="s">
        <v>532</v>
      </c>
      <c r="C407" s="8">
        <v>106</v>
      </c>
      <c r="D407" s="11" t="s">
        <v>34</v>
      </c>
      <c r="E407" s="12">
        <v>6.7</v>
      </c>
      <c r="F407" s="12">
        <v>710.2</v>
      </c>
      <c r="G407" s="8">
        <v>29</v>
      </c>
      <c r="H407" s="8">
        <v>48</v>
      </c>
      <c r="I407" s="8">
        <v>63</v>
      </c>
      <c r="J407" s="8">
        <f>0.02*0.075*106</f>
        <v>0.159</v>
      </c>
      <c r="K407" s="13">
        <v>700</v>
      </c>
      <c r="L407" s="13"/>
      <c r="M407" s="13">
        <v>0.33</v>
      </c>
      <c r="N407" s="13">
        <v>5.38</v>
      </c>
      <c r="O407" s="13">
        <v>16</v>
      </c>
      <c r="P407" s="8">
        <f t="shared" si="114"/>
        <v>36.728999999999999</v>
      </c>
      <c r="Q407" s="8">
        <f t="shared" si="115"/>
        <v>598.79399999999998</v>
      </c>
      <c r="R407" s="8">
        <f t="shared" si="116"/>
        <v>1780.8</v>
      </c>
    </row>
    <row r="408" spans="1:18" ht="32" x14ac:dyDescent="0.2">
      <c r="A408" s="9" t="s">
        <v>19</v>
      </c>
      <c r="B408" s="10" t="s">
        <v>533</v>
      </c>
      <c r="C408" s="8">
        <v>13</v>
      </c>
      <c r="D408" s="11" t="s">
        <v>36</v>
      </c>
      <c r="E408" s="12">
        <v>56.7</v>
      </c>
      <c r="F408" s="12">
        <v>737.1</v>
      </c>
      <c r="G408" s="8">
        <v>12</v>
      </c>
      <c r="H408" s="8">
        <v>17</v>
      </c>
      <c r="I408" s="8">
        <v>24</v>
      </c>
      <c r="J408" s="8">
        <f t="shared" ref="J408:J419" si="117">0.000024*C408</f>
        <v>3.1199999999999999E-4</v>
      </c>
      <c r="K408" s="8">
        <v>7870</v>
      </c>
      <c r="M408" s="8">
        <v>11.7</v>
      </c>
      <c r="N408" s="8">
        <v>25</v>
      </c>
      <c r="O408" s="8">
        <v>36.299999999999997</v>
      </c>
      <c r="P408" s="8">
        <f>M408*K408*J408</f>
        <v>28.728648</v>
      </c>
      <c r="Q408" s="8">
        <f>N408*K408*J408</f>
        <v>61.385999999999996</v>
      </c>
      <c r="R408" s="8">
        <f>O408*K408*J408</f>
        <v>89.132471999999993</v>
      </c>
    </row>
    <row r="409" spans="1:18" ht="32" x14ac:dyDescent="0.2">
      <c r="A409" s="9" t="s">
        <v>20</v>
      </c>
      <c r="B409" s="10" t="s">
        <v>534</v>
      </c>
      <c r="C409" s="8">
        <v>2</v>
      </c>
      <c r="D409" s="11" t="s">
        <v>36</v>
      </c>
      <c r="E409" s="12">
        <v>35</v>
      </c>
      <c r="F409" s="12">
        <v>70</v>
      </c>
      <c r="G409" s="8">
        <v>12</v>
      </c>
      <c r="H409" s="8">
        <v>17</v>
      </c>
      <c r="I409" s="8">
        <v>24</v>
      </c>
      <c r="J409" s="8">
        <f t="shared" si="117"/>
        <v>4.8000000000000001E-5</v>
      </c>
      <c r="K409" s="8">
        <v>7870</v>
      </c>
      <c r="M409" s="8">
        <v>11.7</v>
      </c>
      <c r="N409" s="8">
        <v>25</v>
      </c>
      <c r="O409" s="8">
        <v>36.299999999999997</v>
      </c>
      <c r="P409" s="8">
        <f>M409*K409*J409</f>
        <v>4.4197920000000002</v>
      </c>
      <c r="Q409" s="8">
        <f>N409*K409*J409</f>
        <v>9.4440000000000008</v>
      </c>
      <c r="R409" s="8">
        <f>O409*K409*J409</f>
        <v>13.712688</v>
      </c>
    </row>
    <row r="410" spans="1:18" ht="32" x14ac:dyDescent="0.2">
      <c r="A410" s="9" t="s">
        <v>21</v>
      </c>
      <c r="B410" s="10" t="s">
        <v>535</v>
      </c>
      <c r="C410" s="8">
        <v>15</v>
      </c>
      <c r="D410" s="11" t="s">
        <v>36</v>
      </c>
      <c r="E410" s="12">
        <v>58.64</v>
      </c>
      <c r="F410" s="12">
        <v>879.6</v>
      </c>
      <c r="G410" s="8">
        <v>12</v>
      </c>
      <c r="H410" s="8">
        <v>17</v>
      </c>
      <c r="I410" s="8">
        <v>24</v>
      </c>
      <c r="J410" s="8">
        <f t="shared" si="117"/>
        <v>3.6000000000000002E-4</v>
      </c>
      <c r="K410" s="8">
        <v>7870</v>
      </c>
      <c r="M410" s="8">
        <v>11.7</v>
      </c>
      <c r="N410" s="8">
        <v>25</v>
      </c>
      <c r="O410" s="8">
        <v>36.299999999999997</v>
      </c>
      <c r="P410" s="8">
        <f>M410*K410*J410</f>
        <v>33.148440000000001</v>
      </c>
      <c r="Q410" s="8">
        <f>N410*K410*J410</f>
        <v>70.83</v>
      </c>
      <c r="R410" s="8">
        <f>O410*K410*J410</f>
        <v>102.84516000000001</v>
      </c>
    </row>
    <row r="411" spans="1:18" ht="32" x14ac:dyDescent="0.2">
      <c r="A411" s="9" t="s">
        <v>6</v>
      </c>
      <c r="B411" s="10" t="s">
        <v>536</v>
      </c>
      <c r="C411" s="8">
        <v>2</v>
      </c>
      <c r="D411" s="11" t="s">
        <v>36</v>
      </c>
      <c r="E411" s="12">
        <v>35</v>
      </c>
      <c r="F411" s="12">
        <v>70</v>
      </c>
      <c r="G411" s="8">
        <v>12</v>
      </c>
      <c r="H411" s="8">
        <v>17</v>
      </c>
      <c r="I411" s="8">
        <v>24</v>
      </c>
      <c r="J411" s="8">
        <f t="shared" si="117"/>
        <v>4.8000000000000001E-5</v>
      </c>
      <c r="K411" s="8">
        <v>7870</v>
      </c>
      <c r="M411" s="8">
        <v>11.7</v>
      </c>
      <c r="N411" s="8">
        <v>25</v>
      </c>
      <c r="O411" s="8">
        <v>36.299999999999997</v>
      </c>
      <c r="P411" s="8">
        <f>M411*K411*J411</f>
        <v>4.4197920000000002</v>
      </c>
      <c r="Q411" s="8">
        <f t="shared" ref="Q411:Q419" si="118">N411*K411*J411</f>
        <v>9.4440000000000008</v>
      </c>
      <c r="R411" s="8">
        <f t="shared" ref="R411:R419" si="119">O411*K411*J411</f>
        <v>13.712688</v>
      </c>
    </row>
    <row r="412" spans="1:18" ht="32" x14ac:dyDescent="0.2">
      <c r="A412" s="9" t="s">
        <v>9</v>
      </c>
      <c r="B412" s="10" t="s">
        <v>537</v>
      </c>
      <c r="C412" s="8">
        <v>18</v>
      </c>
      <c r="D412" s="11" t="s">
        <v>36</v>
      </c>
      <c r="E412" s="12">
        <v>68.91</v>
      </c>
      <c r="F412" s="12">
        <v>1240.3800000000001</v>
      </c>
      <c r="G412" s="8">
        <v>12</v>
      </c>
      <c r="H412" s="8">
        <v>17</v>
      </c>
      <c r="I412" s="8">
        <v>24</v>
      </c>
      <c r="J412" s="8">
        <f t="shared" si="117"/>
        <v>4.3199999999999998E-4</v>
      </c>
      <c r="K412" s="8">
        <v>7870</v>
      </c>
      <c r="M412" s="8">
        <v>11.7</v>
      </c>
      <c r="N412" s="8">
        <v>25</v>
      </c>
      <c r="O412" s="8">
        <v>36.299999999999997</v>
      </c>
      <c r="P412" s="8">
        <f t="shared" ref="P412:P419" si="120">M412*K412*J412</f>
        <v>39.778127999999995</v>
      </c>
      <c r="Q412" s="8">
        <f t="shared" si="118"/>
        <v>84.995999999999995</v>
      </c>
      <c r="R412" s="8">
        <f t="shared" si="119"/>
        <v>123.414192</v>
      </c>
    </row>
    <row r="413" spans="1:18" ht="32" x14ac:dyDescent="0.2">
      <c r="A413" s="9" t="s">
        <v>10</v>
      </c>
      <c r="B413" s="10" t="s">
        <v>538</v>
      </c>
      <c r="C413" s="8">
        <v>18</v>
      </c>
      <c r="D413" s="11" t="s">
        <v>36</v>
      </c>
      <c r="E413" s="12">
        <v>35</v>
      </c>
      <c r="F413" s="12">
        <v>630</v>
      </c>
      <c r="G413" s="8">
        <v>12</v>
      </c>
      <c r="H413" s="8">
        <v>17</v>
      </c>
      <c r="I413" s="8">
        <v>24</v>
      </c>
      <c r="J413" s="8">
        <f t="shared" si="117"/>
        <v>4.3199999999999998E-4</v>
      </c>
      <c r="K413" s="8">
        <v>7870</v>
      </c>
      <c r="M413" s="8">
        <v>11.7</v>
      </c>
      <c r="N413" s="8">
        <v>25</v>
      </c>
      <c r="O413" s="8">
        <v>36.299999999999997</v>
      </c>
      <c r="P413" s="8">
        <f t="shared" si="120"/>
        <v>39.778127999999995</v>
      </c>
      <c r="Q413" s="8">
        <f t="shared" si="118"/>
        <v>84.995999999999995</v>
      </c>
      <c r="R413" s="8">
        <f t="shared" si="119"/>
        <v>123.414192</v>
      </c>
    </row>
    <row r="414" spans="1:18" ht="32" x14ac:dyDescent="0.2">
      <c r="A414" s="9" t="s">
        <v>11</v>
      </c>
      <c r="B414" s="10" t="s">
        <v>539</v>
      </c>
      <c r="C414" s="8">
        <v>6</v>
      </c>
      <c r="D414" s="11" t="s">
        <v>36</v>
      </c>
      <c r="E414" s="12">
        <v>63.98</v>
      </c>
      <c r="F414" s="12">
        <v>383.88</v>
      </c>
      <c r="G414" s="8">
        <v>12</v>
      </c>
      <c r="H414" s="8">
        <v>17</v>
      </c>
      <c r="I414" s="8">
        <v>24</v>
      </c>
      <c r="J414" s="8">
        <f t="shared" si="117"/>
        <v>1.44E-4</v>
      </c>
      <c r="K414" s="8">
        <v>7870</v>
      </c>
      <c r="M414" s="8">
        <v>11.7</v>
      </c>
      <c r="N414" s="8">
        <v>25</v>
      </c>
      <c r="O414" s="8">
        <v>36.299999999999997</v>
      </c>
      <c r="P414" s="8">
        <f t="shared" si="120"/>
        <v>13.259376</v>
      </c>
      <c r="Q414" s="8">
        <f t="shared" si="118"/>
        <v>28.332000000000001</v>
      </c>
      <c r="R414" s="8">
        <f t="shared" si="119"/>
        <v>41.138064</v>
      </c>
    </row>
    <row r="415" spans="1:18" ht="32" x14ac:dyDescent="0.2">
      <c r="A415" s="9" t="s">
        <v>12</v>
      </c>
      <c r="B415" s="10" t="s">
        <v>540</v>
      </c>
      <c r="C415" s="8">
        <v>4</v>
      </c>
      <c r="D415" s="11" t="s">
        <v>36</v>
      </c>
      <c r="E415" s="12">
        <v>35</v>
      </c>
      <c r="F415" s="12">
        <v>140</v>
      </c>
      <c r="G415" s="8">
        <v>12</v>
      </c>
      <c r="H415" s="8">
        <v>17</v>
      </c>
      <c r="I415" s="8">
        <v>24</v>
      </c>
      <c r="J415" s="8">
        <f t="shared" si="117"/>
        <v>9.6000000000000002E-5</v>
      </c>
      <c r="K415" s="8">
        <v>7870</v>
      </c>
      <c r="M415" s="8">
        <v>11.7</v>
      </c>
      <c r="N415" s="8">
        <v>25</v>
      </c>
      <c r="O415" s="8">
        <v>36.299999999999997</v>
      </c>
      <c r="P415" s="8">
        <f t="shared" si="120"/>
        <v>8.8395840000000003</v>
      </c>
      <c r="Q415" s="8">
        <f t="shared" si="118"/>
        <v>18.888000000000002</v>
      </c>
      <c r="R415" s="8">
        <f t="shared" si="119"/>
        <v>27.425376</v>
      </c>
    </row>
    <row r="416" spans="1:18" ht="32" x14ac:dyDescent="0.2">
      <c r="A416" s="9" t="s">
        <v>13</v>
      </c>
      <c r="B416" s="10" t="s">
        <v>533</v>
      </c>
      <c r="C416" s="8">
        <v>7</v>
      </c>
      <c r="D416" s="11" t="s">
        <v>36</v>
      </c>
      <c r="E416" s="12">
        <v>29</v>
      </c>
      <c r="F416" s="12">
        <v>203</v>
      </c>
      <c r="G416" s="8">
        <v>12</v>
      </c>
      <c r="H416" s="8">
        <v>17</v>
      </c>
      <c r="I416" s="8">
        <v>24</v>
      </c>
      <c r="J416" s="8">
        <f t="shared" si="117"/>
        <v>1.6800000000000002E-4</v>
      </c>
      <c r="K416" s="8">
        <v>7870</v>
      </c>
      <c r="M416" s="8">
        <v>11.7</v>
      </c>
      <c r="N416" s="8">
        <v>25</v>
      </c>
      <c r="O416" s="8">
        <v>36.299999999999997</v>
      </c>
      <c r="P416" s="8">
        <f t="shared" si="120"/>
        <v>15.469272000000002</v>
      </c>
      <c r="Q416" s="8">
        <f t="shared" si="118"/>
        <v>33.054000000000002</v>
      </c>
      <c r="R416" s="8">
        <f t="shared" si="119"/>
        <v>47.994408000000007</v>
      </c>
    </row>
    <row r="417" spans="1:18" ht="32" x14ac:dyDescent="0.2">
      <c r="A417" s="9" t="s">
        <v>14</v>
      </c>
      <c r="B417" s="10" t="s">
        <v>535</v>
      </c>
      <c r="C417" s="8">
        <v>8</v>
      </c>
      <c r="D417" s="11" t="s">
        <v>36</v>
      </c>
      <c r="E417" s="12">
        <v>29</v>
      </c>
      <c r="F417" s="12">
        <v>232</v>
      </c>
      <c r="G417" s="8">
        <v>12</v>
      </c>
      <c r="H417" s="8">
        <v>17</v>
      </c>
      <c r="I417" s="8">
        <v>24</v>
      </c>
      <c r="J417" s="8">
        <f t="shared" si="117"/>
        <v>1.92E-4</v>
      </c>
      <c r="K417" s="8">
        <v>7870</v>
      </c>
      <c r="M417" s="8">
        <v>11.7</v>
      </c>
      <c r="N417" s="8">
        <v>25</v>
      </c>
      <c r="O417" s="8">
        <v>36.299999999999997</v>
      </c>
      <c r="P417" s="8">
        <f t="shared" si="120"/>
        <v>17.679168000000001</v>
      </c>
      <c r="Q417" s="8">
        <f t="shared" si="118"/>
        <v>37.776000000000003</v>
      </c>
      <c r="R417" s="8">
        <f t="shared" si="119"/>
        <v>54.850752</v>
      </c>
    </row>
    <row r="418" spans="1:18" ht="32" x14ac:dyDescent="0.2">
      <c r="A418" s="9" t="s">
        <v>15</v>
      </c>
      <c r="B418" s="10" t="s">
        <v>537</v>
      </c>
      <c r="C418" s="8">
        <v>11</v>
      </c>
      <c r="D418" s="11" t="s">
        <v>36</v>
      </c>
      <c r="E418" s="12">
        <v>29</v>
      </c>
      <c r="F418" s="12">
        <v>319</v>
      </c>
      <c r="G418" s="8">
        <v>12</v>
      </c>
      <c r="H418" s="8">
        <v>17</v>
      </c>
      <c r="I418" s="8">
        <v>24</v>
      </c>
      <c r="J418" s="8">
        <f t="shared" si="117"/>
        <v>2.6400000000000002E-4</v>
      </c>
      <c r="K418" s="8">
        <v>7870</v>
      </c>
      <c r="M418" s="8">
        <v>11.7</v>
      </c>
      <c r="N418" s="8">
        <v>25</v>
      </c>
      <c r="O418" s="8">
        <v>36.299999999999997</v>
      </c>
      <c r="P418" s="8">
        <f t="shared" si="120"/>
        <v>24.308856000000002</v>
      </c>
      <c r="Q418" s="8">
        <f t="shared" si="118"/>
        <v>51.942000000000007</v>
      </c>
      <c r="R418" s="8">
        <f t="shared" si="119"/>
        <v>75.419784000000007</v>
      </c>
    </row>
    <row r="419" spans="1:18" ht="32" x14ac:dyDescent="0.2">
      <c r="A419" s="9" t="s">
        <v>16</v>
      </c>
      <c r="B419" s="10" t="s">
        <v>539</v>
      </c>
      <c r="C419" s="8">
        <v>3</v>
      </c>
      <c r="D419" s="11" t="s">
        <v>36</v>
      </c>
      <c r="E419" s="12">
        <v>29</v>
      </c>
      <c r="F419" s="12">
        <v>87</v>
      </c>
      <c r="G419" s="8">
        <v>12</v>
      </c>
      <c r="H419" s="8">
        <v>17</v>
      </c>
      <c r="I419" s="8">
        <v>24</v>
      </c>
      <c r="J419" s="8">
        <f t="shared" si="117"/>
        <v>7.2000000000000002E-5</v>
      </c>
      <c r="K419" s="8">
        <v>7870</v>
      </c>
      <c r="M419" s="8">
        <v>11.7</v>
      </c>
      <c r="N419" s="8">
        <v>25</v>
      </c>
      <c r="O419" s="8">
        <v>36.299999999999997</v>
      </c>
      <c r="P419" s="8">
        <f t="shared" si="120"/>
        <v>6.6296879999999998</v>
      </c>
      <c r="Q419" s="8">
        <f t="shared" si="118"/>
        <v>14.166</v>
      </c>
      <c r="R419" s="8">
        <f t="shared" si="119"/>
        <v>20.569032</v>
      </c>
    </row>
    <row r="420" spans="1:18" ht="32" x14ac:dyDescent="0.2">
      <c r="A420" s="9" t="s">
        <v>17</v>
      </c>
      <c r="B420" s="10" t="s">
        <v>541</v>
      </c>
      <c r="C420" s="8">
        <v>101</v>
      </c>
      <c r="D420" s="11" t="s">
        <v>34</v>
      </c>
      <c r="E420" s="12">
        <v>1.25</v>
      </c>
      <c r="F420" s="12">
        <v>126.25</v>
      </c>
      <c r="G420" s="8">
        <v>5</v>
      </c>
      <c r="H420" s="8">
        <v>15</v>
      </c>
      <c r="I420" s="8">
        <v>25</v>
      </c>
      <c r="J420" s="8">
        <f>0.01*1*101</f>
        <v>1.01</v>
      </c>
      <c r="K420" s="8">
        <v>1700</v>
      </c>
      <c r="M420" s="8">
        <v>8</v>
      </c>
      <c r="N420" s="8">
        <v>8</v>
      </c>
      <c r="O420" s="8">
        <v>8</v>
      </c>
      <c r="P420" s="8">
        <f t="shared" ref="P420:P423" si="121">M420*K420*J420</f>
        <v>13736</v>
      </c>
      <c r="Q420" s="8">
        <f t="shared" ref="Q420:Q423" si="122">N420*K420*J420</f>
        <v>13736</v>
      </c>
      <c r="R420" s="8">
        <f t="shared" ref="R420:R423" si="123">O420*K420*J420</f>
        <v>13736</v>
      </c>
    </row>
    <row r="421" spans="1:18" ht="32" x14ac:dyDescent="0.2">
      <c r="A421" s="9" t="s">
        <v>18</v>
      </c>
      <c r="B421" s="10" t="s">
        <v>542</v>
      </c>
      <c r="C421" s="8">
        <v>115</v>
      </c>
      <c r="D421" s="11" t="s">
        <v>34</v>
      </c>
      <c r="E421" s="12">
        <v>1.25</v>
      </c>
      <c r="F421" s="12">
        <v>143.75</v>
      </c>
      <c r="G421" s="8">
        <v>5</v>
      </c>
      <c r="H421" s="8">
        <v>15</v>
      </c>
      <c r="I421" s="8">
        <v>25</v>
      </c>
      <c r="J421" s="8">
        <f>0.01*0.01*115</f>
        <v>1.15E-2</v>
      </c>
      <c r="K421" s="8">
        <v>1700</v>
      </c>
      <c r="M421" s="8">
        <v>8</v>
      </c>
      <c r="N421" s="8">
        <v>8</v>
      </c>
      <c r="O421" s="8">
        <v>8</v>
      </c>
      <c r="P421" s="8">
        <f t="shared" si="121"/>
        <v>156.4</v>
      </c>
      <c r="Q421" s="8">
        <f t="shared" si="122"/>
        <v>156.4</v>
      </c>
      <c r="R421" s="8">
        <f t="shared" si="123"/>
        <v>156.4</v>
      </c>
    </row>
    <row r="422" spans="1:18" ht="48" x14ac:dyDescent="0.2">
      <c r="A422" s="9" t="s">
        <v>19</v>
      </c>
      <c r="B422" s="10" t="s">
        <v>543</v>
      </c>
      <c r="C422" s="8">
        <v>174</v>
      </c>
      <c r="D422" s="11" t="s">
        <v>34</v>
      </c>
      <c r="E422" s="12">
        <v>1.99</v>
      </c>
      <c r="F422" s="12">
        <v>346.26</v>
      </c>
      <c r="G422" s="8">
        <v>5</v>
      </c>
      <c r="H422" s="8">
        <v>15</v>
      </c>
      <c r="I422" s="8">
        <v>25</v>
      </c>
      <c r="J422" s="8">
        <f>0.01*0.01*174</f>
        <v>1.7400000000000002E-2</v>
      </c>
      <c r="K422" s="8">
        <v>1700</v>
      </c>
      <c r="M422" s="8">
        <v>8</v>
      </c>
      <c r="N422" s="8">
        <v>8</v>
      </c>
      <c r="O422" s="8">
        <v>8</v>
      </c>
      <c r="P422" s="8">
        <f t="shared" si="121"/>
        <v>236.64000000000004</v>
      </c>
      <c r="Q422" s="8">
        <f t="shared" si="122"/>
        <v>236.64000000000004</v>
      </c>
      <c r="R422" s="8">
        <f t="shared" si="123"/>
        <v>236.64000000000004</v>
      </c>
    </row>
    <row r="423" spans="1:18" ht="32" x14ac:dyDescent="0.2">
      <c r="A423" s="9" t="s">
        <v>20</v>
      </c>
      <c r="B423" s="10" t="s">
        <v>544</v>
      </c>
      <c r="C423" s="8">
        <v>53</v>
      </c>
      <c r="D423" s="11" t="s">
        <v>34</v>
      </c>
      <c r="E423" s="12">
        <v>1.25</v>
      </c>
      <c r="F423" s="12">
        <v>66.25</v>
      </c>
      <c r="G423" s="8">
        <v>5</v>
      </c>
      <c r="H423" s="8">
        <v>15</v>
      </c>
      <c r="I423" s="8">
        <v>25</v>
      </c>
      <c r="J423" s="8">
        <f>0.01*0.01*53</f>
        <v>5.3E-3</v>
      </c>
      <c r="K423" s="8">
        <v>1700</v>
      </c>
      <c r="M423" s="8">
        <v>8</v>
      </c>
      <c r="N423" s="8">
        <v>8</v>
      </c>
      <c r="O423" s="8">
        <v>8</v>
      </c>
      <c r="P423" s="8">
        <f t="shared" si="121"/>
        <v>72.08</v>
      </c>
      <c r="Q423" s="8">
        <f t="shared" si="122"/>
        <v>72.08</v>
      </c>
      <c r="R423" s="8">
        <f t="shared" si="123"/>
        <v>72.08</v>
      </c>
    </row>
    <row r="424" spans="1:18" ht="48" x14ac:dyDescent="0.2">
      <c r="A424" s="9" t="s">
        <v>6</v>
      </c>
      <c r="B424" s="10" t="s">
        <v>545</v>
      </c>
      <c r="C424" s="8">
        <v>1654</v>
      </c>
      <c r="D424" s="11" t="s">
        <v>35</v>
      </c>
      <c r="E424" s="12">
        <v>8.4</v>
      </c>
      <c r="F424" s="12">
        <v>13893.6</v>
      </c>
      <c r="G424" s="8">
        <v>26</v>
      </c>
      <c r="H424" s="8">
        <v>39</v>
      </c>
      <c r="I424" s="8">
        <v>51</v>
      </c>
      <c r="J424" s="8">
        <f>0.0125*C424</f>
        <v>20.675000000000001</v>
      </c>
      <c r="K424" s="13">
        <v>950</v>
      </c>
      <c r="L424" s="13"/>
      <c r="M424" s="13">
        <v>1.4</v>
      </c>
      <c r="N424" s="13">
        <v>1.8</v>
      </c>
      <c r="O424" s="13">
        <v>3.2</v>
      </c>
      <c r="P424" s="8">
        <f t="shared" ref="P424:P425" si="124">M424*K424*J424</f>
        <v>27497.75</v>
      </c>
      <c r="Q424" s="8">
        <f t="shared" ref="Q424:Q425" si="125">N424*K424*J424</f>
        <v>35354.25</v>
      </c>
      <c r="R424" s="8">
        <f t="shared" ref="R424:R425" si="126">O424*K424*J424</f>
        <v>62852</v>
      </c>
    </row>
    <row r="425" spans="1:18" ht="48" x14ac:dyDescent="0.2">
      <c r="A425" s="9" t="s">
        <v>9</v>
      </c>
      <c r="B425" s="10" t="s">
        <v>546</v>
      </c>
      <c r="C425" s="8">
        <v>356</v>
      </c>
      <c r="D425" s="11" t="s">
        <v>34</v>
      </c>
      <c r="E425" s="12">
        <v>5.3</v>
      </c>
      <c r="F425" s="12">
        <v>1886.8</v>
      </c>
      <c r="G425" s="8">
        <v>26</v>
      </c>
      <c r="H425" s="8">
        <v>39</v>
      </c>
      <c r="I425" s="8">
        <v>51</v>
      </c>
      <c r="J425" s="8">
        <f>0.0125*C425*0.3</f>
        <v>1.335</v>
      </c>
      <c r="K425" s="13">
        <v>950</v>
      </c>
      <c r="L425" s="13"/>
      <c r="M425" s="13">
        <v>1.4</v>
      </c>
      <c r="N425" s="13">
        <v>1.8</v>
      </c>
      <c r="O425" s="13">
        <v>3.2</v>
      </c>
      <c r="P425" s="8">
        <f t="shared" si="124"/>
        <v>1775.55</v>
      </c>
      <c r="Q425" s="8">
        <f t="shared" si="125"/>
        <v>2282.85</v>
      </c>
      <c r="R425" s="8">
        <f t="shared" si="126"/>
        <v>4058.4</v>
      </c>
    </row>
    <row r="426" spans="1:18" ht="48" x14ac:dyDescent="0.2">
      <c r="A426" s="9" t="s">
        <v>10</v>
      </c>
      <c r="B426" s="10" t="s">
        <v>547</v>
      </c>
      <c r="C426" s="8">
        <v>218</v>
      </c>
      <c r="D426" s="11" t="s">
        <v>35</v>
      </c>
      <c r="E426" s="12">
        <v>6.4</v>
      </c>
      <c r="F426" s="12">
        <v>1395.2</v>
      </c>
      <c r="G426" s="8">
        <v>28</v>
      </c>
      <c r="H426" s="8">
        <v>42</v>
      </c>
      <c r="I426" s="8">
        <v>53</v>
      </c>
      <c r="J426" s="8">
        <f>0.0125*C426</f>
        <v>2.7250000000000001</v>
      </c>
      <c r="K426" s="8">
        <v>350</v>
      </c>
      <c r="M426" s="8">
        <f>N426*0.7</f>
        <v>7.2799999999999994</v>
      </c>
      <c r="N426" s="8">
        <v>10.4</v>
      </c>
      <c r="O426" s="8">
        <f>N426*1.3</f>
        <v>13.520000000000001</v>
      </c>
      <c r="P426" s="8">
        <f t="shared" ref="P426:P427" si="127">M426*K426*J426</f>
        <v>6943.3</v>
      </c>
      <c r="Q426" s="8">
        <f t="shared" ref="Q426:Q427" si="128">N426*K426*J426</f>
        <v>9919</v>
      </c>
      <c r="R426" s="8">
        <f t="shared" ref="R426:R427" si="129">O426*K426*J426</f>
        <v>12894.700000000003</v>
      </c>
    </row>
    <row r="427" spans="1:18" ht="48" x14ac:dyDescent="0.2">
      <c r="A427" s="9" t="s">
        <v>11</v>
      </c>
      <c r="B427" s="10" t="s">
        <v>548</v>
      </c>
      <c r="C427" s="8">
        <v>66</v>
      </c>
      <c r="D427" s="11" t="s">
        <v>34</v>
      </c>
      <c r="E427" s="12">
        <v>4.25</v>
      </c>
      <c r="F427" s="12">
        <v>280.5</v>
      </c>
      <c r="G427" s="8">
        <v>28</v>
      </c>
      <c r="H427" s="8">
        <v>42</v>
      </c>
      <c r="I427" s="8">
        <v>53</v>
      </c>
      <c r="J427" s="8">
        <f>0.0125*C427*0.3</f>
        <v>0.2475</v>
      </c>
      <c r="K427" s="8">
        <v>350</v>
      </c>
      <c r="M427" s="8">
        <f>N427*0.7</f>
        <v>7.2799999999999994</v>
      </c>
      <c r="N427" s="8">
        <v>10.4</v>
      </c>
      <c r="O427" s="8">
        <f>N427*1.3</f>
        <v>13.520000000000001</v>
      </c>
      <c r="P427" s="8">
        <f t="shared" si="127"/>
        <v>630.63</v>
      </c>
      <c r="Q427" s="8">
        <f t="shared" si="128"/>
        <v>900.9</v>
      </c>
      <c r="R427" s="8">
        <f t="shared" si="129"/>
        <v>1171.1700000000003</v>
      </c>
    </row>
    <row r="428" spans="1:18" ht="112" x14ac:dyDescent="0.2">
      <c r="A428" s="9" t="s">
        <v>12</v>
      </c>
      <c r="B428" s="10" t="s">
        <v>549</v>
      </c>
      <c r="C428" s="8">
        <v>80</v>
      </c>
      <c r="D428" s="11" t="s">
        <v>35</v>
      </c>
      <c r="E428" s="12">
        <v>43.04</v>
      </c>
      <c r="F428" s="12">
        <v>3443.2</v>
      </c>
      <c r="G428" s="8">
        <v>41</v>
      </c>
      <c r="H428" s="8">
        <v>68</v>
      </c>
      <c r="I428" s="8">
        <v>107</v>
      </c>
      <c r="J428" s="8">
        <f>0.015*C428</f>
        <v>1.2</v>
      </c>
      <c r="K428" s="13">
        <v>950</v>
      </c>
      <c r="L428" s="13"/>
      <c r="M428" s="13">
        <v>1.4</v>
      </c>
      <c r="N428" s="13">
        <v>1.8</v>
      </c>
      <c r="O428" s="13">
        <v>3.2</v>
      </c>
      <c r="P428" s="8">
        <f t="shared" ref="P428:P429" si="130">M428*K428*J428</f>
        <v>1596</v>
      </c>
      <c r="Q428" s="8">
        <f t="shared" ref="Q428:Q429" si="131">N428*K428*J428</f>
        <v>2052</v>
      </c>
      <c r="R428" s="8">
        <f t="shared" ref="R428:R429" si="132">O428*K428*J428</f>
        <v>3648</v>
      </c>
    </row>
    <row r="429" spans="1:18" ht="112" x14ac:dyDescent="0.2">
      <c r="A429" s="9" t="s">
        <v>13</v>
      </c>
      <c r="B429" s="10" t="s">
        <v>550</v>
      </c>
      <c r="C429" s="8">
        <v>27</v>
      </c>
      <c r="D429" s="11" t="s">
        <v>34</v>
      </c>
      <c r="E429" s="12">
        <v>23.87</v>
      </c>
      <c r="F429" s="12">
        <v>644.49</v>
      </c>
      <c r="G429" s="8">
        <v>41</v>
      </c>
      <c r="H429" s="8">
        <v>68</v>
      </c>
      <c r="I429" s="8">
        <v>107</v>
      </c>
      <c r="J429" s="8">
        <f>0.015*C429*0.3</f>
        <v>0.12149999999999998</v>
      </c>
      <c r="K429" s="13">
        <v>950</v>
      </c>
      <c r="L429" s="13"/>
      <c r="M429" s="13">
        <v>1.4</v>
      </c>
      <c r="N429" s="13">
        <v>1.8</v>
      </c>
      <c r="O429" s="13">
        <v>3.2</v>
      </c>
      <c r="P429" s="8">
        <f t="shared" si="130"/>
        <v>161.59499999999997</v>
      </c>
      <c r="Q429" s="8">
        <f t="shared" si="131"/>
        <v>207.76499999999996</v>
      </c>
      <c r="R429" s="8">
        <f t="shared" si="132"/>
        <v>369.35999999999996</v>
      </c>
    </row>
    <row r="430" spans="1:18" ht="48" x14ac:dyDescent="0.2">
      <c r="A430" s="9" t="s">
        <v>14</v>
      </c>
      <c r="B430" s="10" t="s">
        <v>551</v>
      </c>
      <c r="C430" s="8">
        <v>3666</v>
      </c>
      <c r="D430" s="11" t="s">
        <v>35</v>
      </c>
      <c r="E430" s="12">
        <v>5</v>
      </c>
      <c r="F430" s="12">
        <v>18330</v>
      </c>
      <c r="G430" s="8">
        <v>23</v>
      </c>
      <c r="H430" s="8">
        <v>38</v>
      </c>
      <c r="I430" s="8">
        <v>48</v>
      </c>
      <c r="J430" s="8">
        <f>0.003*C430</f>
        <v>10.998000000000001</v>
      </c>
      <c r="K430" s="13">
        <v>950</v>
      </c>
      <c r="L430" s="13"/>
      <c r="M430" s="13">
        <v>1.4</v>
      </c>
      <c r="N430" s="13">
        <v>1.8</v>
      </c>
      <c r="O430" s="13">
        <v>3.2</v>
      </c>
      <c r="P430" s="8">
        <f t="shared" ref="P430:P431" si="133">M430*K430*J430</f>
        <v>14627.340000000002</v>
      </c>
      <c r="Q430" s="8">
        <f t="shared" ref="Q430:Q431" si="134">N430*K430*J430</f>
        <v>18806.580000000002</v>
      </c>
      <c r="R430" s="8">
        <f t="shared" ref="R430:R431" si="135">O430*K430*J430</f>
        <v>33433.920000000006</v>
      </c>
    </row>
    <row r="431" spans="1:18" ht="48" x14ac:dyDescent="0.2">
      <c r="A431" s="9" t="s">
        <v>15</v>
      </c>
      <c r="B431" s="10" t="s">
        <v>552</v>
      </c>
      <c r="C431" s="8">
        <v>645</v>
      </c>
      <c r="D431" s="11" t="s">
        <v>34</v>
      </c>
      <c r="E431" s="12">
        <v>3</v>
      </c>
      <c r="F431" s="12">
        <v>1935</v>
      </c>
      <c r="G431" s="8">
        <v>23</v>
      </c>
      <c r="H431" s="8">
        <v>38</v>
      </c>
      <c r="I431" s="8">
        <v>48</v>
      </c>
      <c r="J431" s="8">
        <f>0.003*C431*0.3</f>
        <v>0.58050000000000002</v>
      </c>
      <c r="K431" s="13">
        <v>950</v>
      </c>
      <c r="L431" s="13"/>
      <c r="M431" s="13">
        <v>1.4</v>
      </c>
      <c r="N431" s="13">
        <v>1.8</v>
      </c>
      <c r="O431" s="13">
        <v>3.2</v>
      </c>
      <c r="P431" s="8">
        <f t="shared" si="133"/>
        <v>772.06500000000005</v>
      </c>
      <c r="Q431" s="8">
        <f t="shared" si="134"/>
        <v>992.65499999999997</v>
      </c>
      <c r="R431" s="8">
        <f t="shared" si="135"/>
        <v>1764.72</v>
      </c>
    </row>
    <row r="432" spans="1:18" ht="16" x14ac:dyDescent="0.2">
      <c r="A432" s="9" t="s">
        <v>16</v>
      </c>
      <c r="B432" s="10" t="s">
        <v>52</v>
      </c>
      <c r="C432" s="8">
        <v>778</v>
      </c>
      <c r="D432" s="11" t="s">
        <v>34</v>
      </c>
      <c r="E432" s="12">
        <v>1.65</v>
      </c>
      <c r="F432" s="12">
        <v>1283.7</v>
      </c>
    </row>
    <row r="433" spans="1:18" ht="48" x14ac:dyDescent="0.2">
      <c r="A433" s="9" t="s">
        <v>6</v>
      </c>
      <c r="B433" s="10" t="s">
        <v>553</v>
      </c>
      <c r="C433" s="8">
        <v>312</v>
      </c>
      <c r="D433" s="11" t="s">
        <v>35</v>
      </c>
      <c r="E433" s="12">
        <v>46</v>
      </c>
      <c r="F433" s="12">
        <v>14352</v>
      </c>
      <c r="G433" s="8">
        <v>16</v>
      </c>
      <c r="H433" s="8">
        <v>27</v>
      </c>
      <c r="I433" s="8">
        <v>41</v>
      </c>
      <c r="J433" s="8">
        <f>0.005*C433</f>
        <v>1.56</v>
      </c>
      <c r="K433" s="8">
        <v>2000</v>
      </c>
      <c r="M433" s="8">
        <v>2.5</v>
      </c>
      <c r="N433" s="8">
        <v>12</v>
      </c>
      <c r="O433" s="8">
        <v>19.5</v>
      </c>
      <c r="P433" s="8">
        <f t="shared" ref="P433:P434" si="136">M433*K433*J433</f>
        <v>7800</v>
      </c>
      <c r="Q433" s="8">
        <f t="shared" ref="Q433:Q434" si="137">N433*K433*J433</f>
        <v>37440</v>
      </c>
      <c r="R433" s="8">
        <f t="shared" ref="R433:R434" si="138">O433*K433*J433</f>
        <v>60840</v>
      </c>
    </row>
    <row r="434" spans="1:18" ht="48" x14ac:dyDescent="0.2">
      <c r="A434" s="9" t="s">
        <v>9</v>
      </c>
      <c r="B434" s="10" t="s">
        <v>554</v>
      </c>
      <c r="C434" s="8">
        <v>42</v>
      </c>
      <c r="D434" s="11" t="s">
        <v>34</v>
      </c>
      <c r="E434" s="12">
        <v>13.8</v>
      </c>
      <c r="F434" s="12">
        <v>579.6</v>
      </c>
      <c r="G434" s="8">
        <v>16</v>
      </c>
      <c r="H434" s="8">
        <v>27</v>
      </c>
      <c r="I434" s="8">
        <v>41</v>
      </c>
      <c r="J434" s="8">
        <f>0.005*C434*0.3</f>
        <v>6.3E-2</v>
      </c>
      <c r="K434" s="8">
        <v>2000</v>
      </c>
      <c r="M434" s="8">
        <v>2.5</v>
      </c>
      <c r="N434" s="8">
        <v>12</v>
      </c>
      <c r="O434" s="8">
        <v>19.5</v>
      </c>
      <c r="P434" s="8">
        <f t="shared" si="136"/>
        <v>315</v>
      </c>
      <c r="Q434" s="8">
        <f t="shared" si="137"/>
        <v>1512</v>
      </c>
      <c r="R434" s="8">
        <f t="shared" si="138"/>
        <v>2457</v>
      </c>
    </row>
    <row r="435" spans="1:18" ht="16" x14ac:dyDescent="0.2">
      <c r="A435" s="9" t="s">
        <v>10</v>
      </c>
      <c r="B435" s="10" t="s">
        <v>555</v>
      </c>
      <c r="C435" s="8">
        <v>209</v>
      </c>
      <c r="D435" s="11" t="s">
        <v>34</v>
      </c>
      <c r="E435" s="12">
        <v>9</v>
      </c>
      <c r="F435" s="12">
        <v>1881</v>
      </c>
    </row>
    <row r="436" spans="1:18" ht="32" x14ac:dyDescent="0.2">
      <c r="A436" s="9" t="s">
        <v>11</v>
      </c>
      <c r="B436" s="10" t="s">
        <v>556</v>
      </c>
      <c r="C436" s="8">
        <v>305</v>
      </c>
      <c r="D436" s="11" t="s">
        <v>34</v>
      </c>
      <c r="E436" s="12">
        <v>0.92</v>
      </c>
      <c r="F436" s="12">
        <v>280.60000000000002</v>
      </c>
      <c r="J436" s="8">
        <f>C436*0.008*0.008</f>
        <v>1.9519999999999999E-2</v>
      </c>
      <c r="K436" s="8">
        <v>1700</v>
      </c>
      <c r="M436" s="8">
        <v>8</v>
      </c>
      <c r="N436" s="8">
        <v>8</v>
      </c>
      <c r="O436" s="8">
        <v>8</v>
      </c>
      <c r="P436" s="8">
        <f>J436*K436*M436</f>
        <v>265.47199999999998</v>
      </c>
      <c r="Q436" s="8">
        <f>K436*N436*J436</f>
        <v>265.47199999999998</v>
      </c>
      <c r="R436" s="8">
        <f>O436*K436*J436</f>
        <v>265.47199999999998</v>
      </c>
    </row>
    <row r="437" spans="1:18" ht="32" x14ac:dyDescent="0.2">
      <c r="A437" s="9" t="s">
        <v>12</v>
      </c>
      <c r="B437" s="10" t="s">
        <v>557</v>
      </c>
      <c r="C437" s="8">
        <v>3459</v>
      </c>
      <c r="D437" s="11" t="s">
        <v>35</v>
      </c>
      <c r="E437" s="12">
        <v>4.3499999999999996</v>
      </c>
      <c r="F437" s="12">
        <v>15046.65</v>
      </c>
      <c r="G437" s="8">
        <v>5</v>
      </c>
      <c r="H437" s="8">
        <v>8</v>
      </c>
      <c r="I437" s="8">
        <v>12</v>
      </c>
      <c r="J437" s="8">
        <f>C437*0.3</f>
        <v>1037.7</v>
      </c>
      <c r="M437" s="8">
        <v>10.5</v>
      </c>
      <c r="N437" s="8">
        <v>10.5</v>
      </c>
      <c r="O437" s="8">
        <v>10.5</v>
      </c>
      <c r="P437" s="8">
        <f>M437*C437</f>
        <v>36319.5</v>
      </c>
      <c r="Q437" s="8">
        <f>N437*C437</f>
        <v>36319.5</v>
      </c>
      <c r="R437" s="8">
        <f>O437*C437</f>
        <v>36319.5</v>
      </c>
    </row>
    <row r="438" spans="1:18" ht="32" x14ac:dyDescent="0.2">
      <c r="A438" s="9" t="s">
        <v>13</v>
      </c>
      <c r="B438" s="10" t="s">
        <v>557</v>
      </c>
      <c r="C438" s="8">
        <v>283</v>
      </c>
      <c r="D438" s="11" t="s">
        <v>35</v>
      </c>
      <c r="E438" s="12">
        <v>4.3499999999999996</v>
      </c>
      <c r="F438" s="12">
        <v>1231.05</v>
      </c>
      <c r="G438" s="8">
        <v>5</v>
      </c>
      <c r="H438" s="8">
        <v>8</v>
      </c>
      <c r="I438" s="8">
        <v>12</v>
      </c>
      <c r="J438" s="8">
        <f>C438*0.3</f>
        <v>84.899999999999991</v>
      </c>
      <c r="M438" s="8">
        <v>10.5</v>
      </c>
      <c r="N438" s="8">
        <v>10.5</v>
      </c>
      <c r="O438" s="8">
        <v>10.5</v>
      </c>
      <c r="P438" s="8">
        <f>M438*C438</f>
        <v>2971.5</v>
      </c>
      <c r="Q438" s="8">
        <f>N438*C438</f>
        <v>2971.5</v>
      </c>
      <c r="R438" s="8">
        <f>O438*C438</f>
        <v>2971.5</v>
      </c>
    </row>
    <row r="439" spans="1:18" ht="48" x14ac:dyDescent="0.2">
      <c r="A439" s="9" t="s">
        <v>6</v>
      </c>
      <c r="B439" s="10" t="s">
        <v>558</v>
      </c>
      <c r="C439" s="8">
        <v>176</v>
      </c>
      <c r="D439" s="11" t="s">
        <v>35</v>
      </c>
      <c r="E439" s="12">
        <v>130</v>
      </c>
      <c r="F439" s="12">
        <v>22880</v>
      </c>
      <c r="G439" s="8">
        <v>29</v>
      </c>
      <c r="H439" s="8">
        <v>48</v>
      </c>
      <c r="I439" s="8">
        <v>63</v>
      </c>
      <c r="J439" s="8">
        <f>C439*0.003</f>
        <v>0.52800000000000002</v>
      </c>
      <c r="K439" s="8">
        <v>700</v>
      </c>
      <c r="M439" s="8">
        <v>0.33</v>
      </c>
      <c r="N439" s="8">
        <v>5.38</v>
      </c>
      <c r="O439" s="8">
        <v>16</v>
      </c>
      <c r="P439" s="8">
        <f>M439*K439*J439</f>
        <v>121.968</v>
      </c>
      <c r="Q439" s="8">
        <f>N439*K439*J439</f>
        <v>1988.4480000000001</v>
      </c>
      <c r="R439" s="8">
        <f>O439*K439*J439</f>
        <v>5913.6</v>
      </c>
    </row>
    <row r="440" spans="1:18" ht="32" x14ac:dyDescent="0.2">
      <c r="A440" s="9" t="s">
        <v>9</v>
      </c>
      <c r="B440" s="10" t="s">
        <v>559</v>
      </c>
      <c r="C440" s="8">
        <v>803</v>
      </c>
      <c r="D440" s="11" t="s">
        <v>35</v>
      </c>
      <c r="E440" s="12">
        <v>14</v>
      </c>
      <c r="F440" s="12">
        <v>11242</v>
      </c>
      <c r="G440" s="8">
        <v>30</v>
      </c>
      <c r="H440" s="8">
        <v>48</v>
      </c>
      <c r="I440" s="8">
        <v>63</v>
      </c>
      <c r="J440" s="8">
        <f>C440*0.07</f>
        <v>56.210000000000008</v>
      </c>
      <c r="K440" s="8">
        <v>2100</v>
      </c>
      <c r="M440" s="8">
        <f>1.33*0.7</f>
        <v>0.93099999999999994</v>
      </c>
      <c r="N440" s="8">
        <f>1.33</f>
        <v>1.33</v>
      </c>
      <c r="O440" s="8">
        <f>1.33*1.3</f>
        <v>1.7290000000000001</v>
      </c>
      <c r="P440" s="8">
        <f t="shared" ref="P440:P442" si="139">M440*K440*J440</f>
        <v>109896.17100000002</v>
      </c>
      <c r="Q440" s="8">
        <f t="shared" ref="Q440:Q442" si="140">N440*K440*J440</f>
        <v>156994.53000000003</v>
      </c>
      <c r="R440" s="8">
        <f t="shared" ref="R440:R442" si="141">O440*K440*J440</f>
        <v>204092.88900000002</v>
      </c>
    </row>
    <row r="441" spans="1:18" ht="48" x14ac:dyDescent="0.2">
      <c r="A441" s="9" t="s">
        <v>10</v>
      </c>
      <c r="B441" s="10" t="s">
        <v>560</v>
      </c>
      <c r="C441" s="8">
        <v>16</v>
      </c>
      <c r="D441" s="11" t="s">
        <v>35</v>
      </c>
      <c r="E441" s="12">
        <v>14</v>
      </c>
      <c r="F441" s="12">
        <v>224</v>
      </c>
      <c r="G441" s="8">
        <v>30</v>
      </c>
      <c r="H441" s="8">
        <v>48</v>
      </c>
      <c r="I441" s="8">
        <v>63</v>
      </c>
      <c r="J441" s="8">
        <f>C441*0.07</f>
        <v>1.1200000000000001</v>
      </c>
      <c r="K441" s="8">
        <v>2100</v>
      </c>
      <c r="M441" s="8">
        <f>1.33*0.7</f>
        <v>0.93099999999999994</v>
      </c>
      <c r="N441" s="8">
        <f>1.33</f>
        <v>1.33</v>
      </c>
      <c r="O441" s="8">
        <f>1.33*1.3</f>
        <v>1.7290000000000001</v>
      </c>
      <c r="P441" s="8">
        <f t="shared" si="139"/>
        <v>2189.712</v>
      </c>
      <c r="Q441" s="8">
        <f t="shared" si="140"/>
        <v>3128.1600000000003</v>
      </c>
      <c r="R441" s="8">
        <f t="shared" si="141"/>
        <v>4066.6080000000006</v>
      </c>
    </row>
    <row r="442" spans="1:18" ht="32" x14ac:dyDescent="0.2">
      <c r="A442" s="9" t="s">
        <v>11</v>
      </c>
      <c r="B442" s="10" t="s">
        <v>561</v>
      </c>
      <c r="C442" s="8">
        <v>3</v>
      </c>
      <c r="D442" s="11" t="s">
        <v>35</v>
      </c>
      <c r="E442" s="12">
        <v>14</v>
      </c>
      <c r="F442" s="12">
        <v>42</v>
      </c>
      <c r="G442" s="8">
        <v>30</v>
      </c>
      <c r="H442" s="8">
        <v>48</v>
      </c>
      <c r="I442" s="8">
        <v>63</v>
      </c>
      <c r="J442" s="8">
        <f>C442*0.07</f>
        <v>0.21000000000000002</v>
      </c>
      <c r="K442" s="8">
        <v>2100</v>
      </c>
      <c r="M442" s="8">
        <f>1.33*0.7</f>
        <v>0.93099999999999994</v>
      </c>
      <c r="N442" s="8">
        <f>1.33</f>
        <v>1.33</v>
      </c>
      <c r="O442" s="8">
        <f>1.33*1.3</f>
        <v>1.7290000000000001</v>
      </c>
      <c r="P442" s="8">
        <f t="shared" si="139"/>
        <v>410.57100000000003</v>
      </c>
      <c r="Q442" s="8">
        <f t="shared" si="140"/>
        <v>586.53000000000009</v>
      </c>
      <c r="R442" s="8">
        <f t="shared" si="141"/>
        <v>762.48900000000015</v>
      </c>
    </row>
    <row r="443" spans="1:18" ht="32" x14ac:dyDescent="0.2">
      <c r="A443" s="9" t="s">
        <v>12</v>
      </c>
      <c r="B443" s="10" t="s">
        <v>562</v>
      </c>
      <c r="C443" s="8">
        <v>1095</v>
      </c>
      <c r="D443" s="11" t="s">
        <v>34</v>
      </c>
      <c r="E443" s="12">
        <v>1.5</v>
      </c>
      <c r="F443" s="12">
        <v>1642.5</v>
      </c>
      <c r="G443" s="8">
        <v>30</v>
      </c>
      <c r="H443" s="8">
        <v>48</v>
      </c>
      <c r="I443" s="8">
        <v>63</v>
      </c>
    </row>
    <row r="444" spans="1:18" ht="32" x14ac:dyDescent="0.2">
      <c r="A444" s="9" t="s">
        <v>13</v>
      </c>
      <c r="B444" s="10" t="s">
        <v>563</v>
      </c>
      <c r="C444" s="8">
        <v>4</v>
      </c>
      <c r="D444" s="11" t="s">
        <v>35</v>
      </c>
      <c r="E444" s="12">
        <v>10</v>
      </c>
      <c r="F444" s="12">
        <v>40</v>
      </c>
      <c r="G444" s="8">
        <v>30</v>
      </c>
      <c r="H444" s="8">
        <v>48</v>
      </c>
      <c r="I444" s="8">
        <v>63</v>
      </c>
    </row>
    <row r="445" spans="1:18" ht="16" x14ac:dyDescent="0.2">
      <c r="A445" s="9" t="s">
        <v>14</v>
      </c>
      <c r="B445" s="10" t="s">
        <v>564</v>
      </c>
      <c r="C445" s="8">
        <v>1</v>
      </c>
      <c r="D445" s="11" t="s">
        <v>7</v>
      </c>
      <c r="E445" s="14" t="s">
        <v>37</v>
      </c>
      <c r="F445" s="14" t="s">
        <v>37</v>
      </c>
    </row>
    <row r="446" spans="1:18" ht="32" x14ac:dyDescent="0.2">
      <c r="A446" s="9" t="s">
        <v>15</v>
      </c>
      <c r="B446" s="10" t="s">
        <v>565</v>
      </c>
      <c r="C446" s="8">
        <v>1</v>
      </c>
      <c r="D446" s="11" t="s">
        <v>7</v>
      </c>
      <c r="E446" s="14" t="s">
        <v>37</v>
      </c>
      <c r="F446" s="14" t="s">
        <v>37</v>
      </c>
    </row>
    <row r="447" spans="1:18" ht="32" x14ac:dyDescent="0.2">
      <c r="A447" s="9" t="s">
        <v>16</v>
      </c>
      <c r="B447" s="10" t="s">
        <v>101</v>
      </c>
      <c r="C447" s="8">
        <v>803</v>
      </c>
      <c r="D447" s="11" t="s">
        <v>35</v>
      </c>
      <c r="E447" s="12">
        <v>1</v>
      </c>
      <c r="F447" s="12">
        <v>803</v>
      </c>
      <c r="G447" s="8">
        <v>10</v>
      </c>
      <c r="H447" s="8">
        <v>20</v>
      </c>
      <c r="I447" s="8">
        <v>30</v>
      </c>
      <c r="J447" s="8">
        <f>C447*0.0003</f>
        <v>0.24089999999999998</v>
      </c>
      <c r="K447" s="8">
        <v>32</v>
      </c>
      <c r="M447" s="8">
        <v>100</v>
      </c>
      <c r="N447" s="8">
        <v>134.18</v>
      </c>
      <c r="O447" s="8">
        <v>183</v>
      </c>
      <c r="P447" s="8">
        <f t="shared" ref="P447:P448" si="142">M447*K447*J447</f>
        <v>770.87999999999988</v>
      </c>
      <c r="Q447" s="8">
        <f t="shared" ref="Q447:Q448" si="143">N447*K447*J447</f>
        <v>1034.3667840000001</v>
      </c>
      <c r="R447" s="8">
        <f t="shared" ref="R447:R448" si="144">O447*K447*J447</f>
        <v>1410.7103999999999</v>
      </c>
    </row>
    <row r="448" spans="1:18" ht="16" x14ac:dyDescent="0.2">
      <c r="A448" s="9" t="s">
        <v>17</v>
      </c>
      <c r="B448" s="10" t="s">
        <v>53</v>
      </c>
      <c r="C448" s="8">
        <v>483</v>
      </c>
      <c r="D448" s="11" t="s">
        <v>35</v>
      </c>
      <c r="E448" s="12">
        <v>1.5</v>
      </c>
      <c r="F448" s="12">
        <v>724.5</v>
      </c>
      <c r="G448" s="8">
        <v>10</v>
      </c>
      <c r="H448" s="8">
        <v>20</v>
      </c>
      <c r="I448" s="8">
        <v>30</v>
      </c>
      <c r="J448" s="8">
        <f>C448*0.0003</f>
        <v>0.1449</v>
      </c>
      <c r="K448" s="8">
        <v>32</v>
      </c>
      <c r="M448" s="8">
        <v>100</v>
      </c>
      <c r="N448" s="8">
        <v>134.18</v>
      </c>
      <c r="O448" s="8">
        <v>183</v>
      </c>
      <c r="P448" s="8">
        <f t="shared" si="142"/>
        <v>463.68</v>
      </c>
      <c r="Q448" s="8">
        <f t="shared" si="143"/>
        <v>622.16582400000004</v>
      </c>
      <c r="R448" s="8">
        <f t="shared" si="144"/>
        <v>848.53440000000001</v>
      </c>
    </row>
    <row r="449" spans="1:24" ht="16" x14ac:dyDescent="0.2">
      <c r="A449" s="9" t="s">
        <v>18</v>
      </c>
      <c r="B449" s="10" t="s">
        <v>566</v>
      </c>
      <c r="C449" s="8">
        <v>803</v>
      </c>
      <c r="D449" s="11" t="s">
        <v>35</v>
      </c>
      <c r="E449" s="14" t="s">
        <v>37</v>
      </c>
      <c r="F449" s="14" t="s">
        <v>37</v>
      </c>
    </row>
    <row r="450" spans="1:24" ht="48" x14ac:dyDescent="0.2">
      <c r="A450" s="9" t="s">
        <v>19</v>
      </c>
      <c r="B450" s="10" t="s">
        <v>567</v>
      </c>
      <c r="C450" s="8">
        <v>738</v>
      </c>
      <c r="D450" s="11" t="s">
        <v>35</v>
      </c>
      <c r="E450" s="12">
        <v>6.54</v>
      </c>
      <c r="F450" s="12">
        <v>4826.5200000000004</v>
      </c>
      <c r="G450" s="8">
        <v>18</v>
      </c>
      <c r="H450" s="8">
        <v>29</v>
      </c>
      <c r="I450" s="8">
        <v>40</v>
      </c>
      <c r="J450" s="8">
        <f>0.003*C450</f>
        <v>2.214</v>
      </c>
      <c r="K450" s="8">
        <v>2100</v>
      </c>
      <c r="M450" s="8">
        <f>4.51*0.7</f>
        <v>3.1569999999999996</v>
      </c>
      <c r="N450" s="8">
        <v>4.51</v>
      </c>
      <c r="O450" s="8">
        <f>4.51*1.3</f>
        <v>5.8629999999999995</v>
      </c>
      <c r="P450" s="8">
        <f t="shared" ref="P450:P451" si="145">M450*K450*J450</f>
        <v>14678.155799999997</v>
      </c>
      <c r="Q450" s="8">
        <f t="shared" ref="Q450:Q451" si="146">N450*K450*J450</f>
        <v>20968.793999999998</v>
      </c>
      <c r="R450" s="8">
        <f t="shared" ref="R450:R451" si="147">O450*K450*J450</f>
        <v>27259.432199999999</v>
      </c>
    </row>
    <row r="451" spans="1:24" ht="48" x14ac:dyDescent="0.2">
      <c r="A451" s="9" t="s">
        <v>20</v>
      </c>
      <c r="B451" s="10" t="s">
        <v>568</v>
      </c>
      <c r="C451" s="8">
        <v>3</v>
      </c>
      <c r="D451" s="11" t="s">
        <v>35</v>
      </c>
      <c r="E451" s="12">
        <v>6.54</v>
      </c>
      <c r="F451" s="12">
        <v>19.62</v>
      </c>
      <c r="G451" s="8">
        <v>18</v>
      </c>
      <c r="H451" s="8">
        <v>29</v>
      </c>
      <c r="I451" s="8">
        <v>40</v>
      </c>
      <c r="J451" s="8">
        <f>0.003*C451</f>
        <v>9.0000000000000011E-3</v>
      </c>
      <c r="K451" s="8">
        <v>2100</v>
      </c>
      <c r="M451" s="8">
        <f>4.51*0.7</f>
        <v>3.1569999999999996</v>
      </c>
      <c r="N451" s="8">
        <v>4.51</v>
      </c>
      <c r="O451" s="8">
        <f>4.51*1.3</f>
        <v>5.8629999999999995</v>
      </c>
      <c r="P451" s="8">
        <f t="shared" si="145"/>
        <v>59.667299999999997</v>
      </c>
      <c r="Q451" s="8">
        <f t="shared" si="146"/>
        <v>85.239000000000004</v>
      </c>
      <c r="R451" s="8">
        <f t="shared" si="147"/>
        <v>110.81070000000001</v>
      </c>
    </row>
    <row r="452" spans="1:24" ht="64" x14ac:dyDescent="0.2">
      <c r="A452" s="9" t="s">
        <v>6</v>
      </c>
      <c r="B452" s="10" t="s">
        <v>569</v>
      </c>
      <c r="C452" s="8">
        <v>738</v>
      </c>
      <c r="D452" s="11" t="s">
        <v>35</v>
      </c>
      <c r="E452" s="12">
        <v>8.74</v>
      </c>
      <c r="F452" s="12">
        <v>6450.12</v>
      </c>
      <c r="G452" s="8">
        <v>10</v>
      </c>
      <c r="H452" s="8">
        <v>20</v>
      </c>
      <c r="I452" s="8">
        <v>30</v>
      </c>
      <c r="J452" s="8">
        <f>C452*0.003</f>
        <v>2.214</v>
      </c>
      <c r="K452" s="8">
        <v>32</v>
      </c>
      <c r="M452" s="8">
        <v>100</v>
      </c>
      <c r="N452" s="8">
        <v>134.18</v>
      </c>
      <c r="O452" s="8">
        <v>183</v>
      </c>
      <c r="P452" s="8">
        <f t="shared" ref="P452:P453" si="148">M452*K452*J452</f>
        <v>7084.8</v>
      </c>
      <c r="Q452" s="8">
        <f t="shared" ref="Q452:Q453" si="149">N452*K452*J452</f>
        <v>9506.3846400000002</v>
      </c>
      <c r="R452" s="8">
        <f t="shared" ref="R452:R453" si="150">O452*K452*J452</f>
        <v>12965.183999999999</v>
      </c>
    </row>
    <row r="453" spans="1:24" ht="64" x14ac:dyDescent="0.2">
      <c r="A453" s="9" t="s">
        <v>9</v>
      </c>
      <c r="B453" s="10" t="s">
        <v>570</v>
      </c>
      <c r="C453" s="8">
        <v>3</v>
      </c>
      <c r="D453" s="11" t="s">
        <v>35</v>
      </c>
      <c r="E453" s="12">
        <v>8.74</v>
      </c>
      <c r="F453" s="12">
        <v>26.22</v>
      </c>
      <c r="G453" s="8">
        <v>10</v>
      </c>
      <c r="H453" s="8">
        <v>20</v>
      </c>
      <c r="I453" s="8">
        <v>30</v>
      </c>
      <c r="J453" s="8">
        <f>0.003*3</f>
        <v>9.0000000000000011E-3</v>
      </c>
      <c r="K453" s="8">
        <v>32</v>
      </c>
      <c r="M453" s="8">
        <v>100</v>
      </c>
      <c r="N453" s="8">
        <v>134.18</v>
      </c>
      <c r="O453" s="8">
        <v>183</v>
      </c>
      <c r="P453" s="8">
        <f t="shared" si="148"/>
        <v>28.800000000000004</v>
      </c>
      <c r="Q453" s="8">
        <f t="shared" si="149"/>
        <v>38.643840000000004</v>
      </c>
      <c r="R453" s="8">
        <f t="shared" si="150"/>
        <v>52.704000000000008</v>
      </c>
    </row>
    <row r="454" spans="1:24" ht="16" x14ac:dyDescent="0.2">
      <c r="A454" s="9" t="s">
        <v>10</v>
      </c>
      <c r="B454" s="10" t="s">
        <v>571</v>
      </c>
      <c r="C454" s="8">
        <v>104</v>
      </c>
      <c r="D454" s="11" t="s">
        <v>35</v>
      </c>
      <c r="E454" s="12">
        <v>66</v>
      </c>
      <c r="F454" s="12">
        <v>6864</v>
      </c>
      <c r="G454" s="8">
        <v>10</v>
      </c>
      <c r="H454" s="8">
        <v>20</v>
      </c>
      <c r="I454" s="8">
        <v>30</v>
      </c>
      <c r="J454" s="8">
        <f>0.005*C454</f>
        <v>0.52</v>
      </c>
      <c r="K454" s="8">
        <v>1900</v>
      </c>
      <c r="M454" s="8">
        <v>2.5</v>
      </c>
      <c r="N454" s="8">
        <v>12</v>
      </c>
      <c r="O454" s="8">
        <v>19.5</v>
      </c>
      <c r="P454" s="8">
        <f t="shared" ref="P454" si="151">M454*K454*J454</f>
        <v>2470</v>
      </c>
      <c r="Q454" s="8">
        <f t="shared" ref="Q454" si="152">N454*K454*J454</f>
        <v>11856</v>
      </c>
      <c r="R454" s="8">
        <f t="shared" ref="R454" si="153">O454*K454*J454</f>
        <v>19266</v>
      </c>
    </row>
    <row r="455" spans="1:24" ht="16" x14ac:dyDescent="0.2">
      <c r="A455" s="9" t="s">
        <v>11</v>
      </c>
      <c r="B455" s="10" t="s">
        <v>572</v>
      </c>
      <c r="C455" s="8">
        <v>184</v>
      </c>
      <c r="D455" s="11" t="s">
        <v>34</v>
      </c>
      <c r="E455" s="12">
        <v>11.45</v>
      </c>
      <c r="F455" s="12">
        <v>2106.8000000000002</v>
      </c>
      <c r="G455" s="8">
        <v>11</v>
      </c>
      <c r="H455" s="8">
        <v>18</v>
      </c>
      <c r="I455" s="8">
        <v>25</v>
      </c>
      <c r="J455" s="8" t="s">
        <v>105</v>
      </c>
    </row>
    <row r="456" spans="1:24" ht="32" x14ac:dyDescent="0.2">
      <c r="A456" s="9" t="s">
        <v>12</v>
      </c>
      <c r="B456" s="10" t="s">
        <v>573</v>
      </c>
      <c r="C456" s="8">
        <v>778</v>
      </c>
      <c r="D456" s="11" t="s">
        <v>35</v>
      </c>
      <c r="E456" s="12">
        <v>44.45</v>
      </c>
      <c r="F456" s="12">
        <v>34582.1</v>
      </c>
      <c r="G456" s="8">
        <v>8</v>
      </c>
      <c r="H456" s="8">
        <v>13</v>
      </c>
      <c r="I456" s="8">
        <v>19</v>
      </c>
      <c r="L456" s="8" t="s">
        <v>942</v>
      </c>
      <c r="M456" s="8">
        <f>84*0.7</f>
        <v>58.8</v>
      </c>
      <c r="N456" s="8">
        <v>84</v>
      </c>
      <c r="O456" s="8">
        <f>84*1.3</f>
        <v>109.2</v>
      </c>
      <c r="P456" s="8">
        <f>M456*C456+C456*0.01*30*65.2</f>
        <v>60964.079999999994</v>
      </c>
      <c r="Q456" s="8">
        <f>N456*C456+C456*0.01*30*80.1</f>
        <v>84047.34</v>
      </c>
      <c r="R456" s="8">
        <f>O456*C456+C456*0.01*30*80.1</f>
        <v>103652.94</v>
      </c>
      <c r="S456" s="8" t="s">
        <v>940</v>
      </c>
      <c r="T456" s="8">
        <v>65.2</v>
      </c>
      <c r="U456" s="8">
        <v>80.099999999999994</v>
      </c>
      <c r="V456" s="8">
        <v>110</v>
      </c>
      <c r="W456" s="8" t="s">
        <v>941</v>
      </c>
      <c r="X456" s="8">
        <v>30</v>
      </c>
    </row>
    <row r="457" spans="1:24" ht="48" x14ac:dyDescent="0.2">
      <c r="A457" s="9" t="s">
        <v>13</v>
      </c>
      <c r="B457" s="10" t="s">
        <v>574</v>
      </c>
      <c r="C457" s="8">
        <v>96</v>
      </c>
      <c r="D457" s="11" t="s">
        <v>34</v>
      </c>
      <c r="E457" s="12">
        <v>14.99</v>
      </c>
      <c r="F457" s="12">
        <v>1439.04</v>
      </c>
      <c r="G457" s="8">
        <v>7</v>
      </c>
      <c r="H457" s="8">
        <v>11</v>
      </c>
      <c r="I457" s="8">
        <v>16</v>
      </c>
      <c r="J457" s="8">
        <f>C457*0.3</f>
        <v>28.799999999999997</v>
      </c>
      <c r="M457" s="8">
        <f>84*0.7</f>
        <v>58.8</v>
      </c>
      <c r="N457" s="8">
        <v>84</v>
      </c>
      <c r="O457" s="8">
        <f>84*1.3</f>
        <v>109.2</v>
      </c>
      <c r="P457" s="8">
        <f>M457*J457+J457*0.01*30*65.2</f>
        <v>2256.768</v>
      </c>
      <c r="Q457" s="8">
        <f>N457*J457+J457*0.01*30*80.1</f>
        <v>3111.2639999999997</v>
      </c>
      <c r="R457" s="8">
        <f>O457*J457+J457*0.01*30*110</f>
        <v>4095.3599999999997</v>
      </c>
    </row>
    <row r="458" spans="1:24" ht="48" x14ac:dyDescent="0.2">
      <c r="A458" s="9" t="s">
        <v>14</v>
      </c>
      <c r="B458" s="10" t="s">
        <v>575</v>
      </c>
      <c r="C458" s="8">
        <v>79</v>
      </c>
      <c r="D458" s="11" t="s">
        <v>34</v>
      </c>
      <c r="E458" s="12">
        <v>14.99</v>
      </c>
      <c r="F458" s="12">
        <v>1184.21</v>
      </c>
      <c r="G458" s="8">
        <v>7</v>
      </c>
      <c r="H458" s="8">
        <v>11</v>
      </c>
      <c r="I458" s="8">
        <v>16</v>
      </c>
      <c r="J458" s="8">
        <f>C458*0.3</f>
        <v>23.7</v>
      </c>
      <c r="M458" s="8">
        <f>84*0.7</f>
        <v>58.8</v>
      </c>
      <c r="N458" s="8">
        <v>84</v>
      </c>
      <c r="O458" s="8">
        <f>84*1.3</f>
        <v>109.2</v>
      </c>
      <c r="P458" s="8">
        <f>M458*J458+J458*0.01*30*65.2</f>
        <v>1857.1320000000001</v>
      </c>
      <c r="Q458" s="8">
        <f>N458*J458+J458*0.01*30*80.1</f>
        <v>2560.3109999999997</v>
      </c>
      <c r="R458" s="8">
        <f>O458*J458+J458*0.01*30*110</f>
        <v>3370.14</v>
      </c>
    </row>
    <row r="459" spans="1:24" ht="48" x14ac:dyDescent="0.2">
      <c r="A459" s="9" t="s">
        <v>15</v>
      </c>
      <c r="B459" s="10" t="s">
        <v>576</v>
      </c>
      <c r="C459" s="8">
        <v>2</v>
      </c>
      <c r="D459" s="11" t="s">
        <v>35</v>
      </c>
      <c r="E459" s="12">
        <v>19.989999999999998</v>
      </c>
      <c r="F459" s="12">
        <v>39.979999999999997</v>
      </c>
      <c r="G459" s="8">
        <v>7</v>
      </c>
      <c r="H459" s="8">
        <v>11</v>
      </c>
      <c r="I459" s="8">
        <v>16</v>
      </c>
      <c r="M459" s="8">
        <f>84*0.7</f>
        <v>58.8</v>
      </c>
      <c r="N459" s="8">
        <v>84</v>
      </c>
      <c r="O459" s="8">
        <f>84*1.3</f>
        <v>109.2</v>
      </c>
      <c r="P459" s="8">
        <f>M459*C459+C459*0.01*30*65.2</f>
        <v>156.72</v>
      </c>
      <c r="Q459" s="8">
        <f>N459*C459+C459*0.01*30*80.1</f>
        <v>216.06</v>
      </c>
      <c r="R459" s="8">
        <f>O459*C459+C459*0.01*30*110</f>
        <v>284.39999999999998</v>
      </c>
    </row>
    <row r="460" spans="1:24" ht="16" x14ac:dyDescent="0.2">
      <c r="A460" s="9" t="s">
        <v>16</v>
      </c>
      <c r="B460" s="10" t="s">
        <v>577</v>
      </c>
      <c r="C460" s="8">
        <v>91</v>
      </c>
      <c r="D460" s="11" t="s">
        <v>34</v>
      </c>
      <c r="E460" s="12">
        <v>19.989999999999998</v>
      </c>
      <c r="F460" s="12">
        <v>1819.09</v>
      </c>
      <c r="G460" s="8">
        <v>7</v>
      </c>
      <c r="H460" s="8">
        <v>11</v>
      </c>
      <c r="I460" s="8">
        <v>16</v>
      </c>
    </row>
    <row r="461" spans="1:24" ht="16" x14ac:dyDescent="0.2">
      <c r="A461" s="9" t="s">
        <v>17</v>
      </c>
      <c r="B461" s="10" t="s">
        <v>578</v>
      </c>
      <c r="C461" s="8">
        <v>6</v>
      </c>
      <c r="D461" s="11" t="s">
        <v>34</v>
      </c>
      <c r="E461" s="12">
        <v>29.99</v>
      </c>
      <c r="F461" s="12">
        <v>179.94</v>
      </c>
      <c r="G461" s="8">
        <v>7</v>
      </c>
      <c r="H461" s="8">
        <v>11</v>
      </c>
      <c r="I461" s="8">
        <v>16</v>
      </c>
    </row>
    <row r="462" spans="1:24" ht="16" x14ac:dyDescent="0.2">
      <c r="A462" s="9" t="s">
        <v>6</v>
      </c>
      <c r="B462" s="10" t="s">
        <v>54</v>
      </c>
      <c r="C462" s="8">
        <v>62</v>
      </c>
      <c r="D462" s="11" t="s">
        <v>34</v>
      </c>
      <c r="E462" s="12">
        <v>17.5</v>
      </c>
      <c r="F462" s="12">
        <v>1085</v>
      </c>
    </row>
    <row r="463" spans="1:24" ht="16" x14ac:dyDescent="0.2">
      <c r="A463" s="9" t="s">
        <v>9</v>
      </c>
      <c r="B463" s="10" t="s">
        <v>55</v>
      </c>
      <c r="C463" s="8">
        <v>8</v>
      </c>
      <c r="D463" s="11" t="s">
        <v>34</v>
      </c>
      <c r="E463" s="12">
        <v>17.5</v>
      </c>
      <c r="F463" s="12">
        <v>140</v>
      </c>
    </row>
    <row r="464" spans="1:24" ht="16" x14ac:dyDescent="0.2">
      <c r="A464" s="9" t="s">
        <v>10</v>
      </c>
      <c r="B464" s="10" t="s">
        <v>56</v>
      </c>
      <c r="C464" s="8">
        <v>11</v>
      </c>
      <c r="D464" s="11" t="s">
        <v>34</v>
      </c>
      <c r="E464" s="12">
        <v>17.5</v>
      </c>
      <c r="F464" s="12">
        <v>192.5</v>
      </c>
    </row>
    <row r="465" spans="1:18" ht="16" x14ac:dyDescent="0.2">
      <c r="A465" s="9" t="s">
        <v>11</v>
      </c>
      <c r="B465" s="10" t="s">
        <v>57</v>
      </c>
      <c r="C465" s="8">
        <v>17</v>
      </c>
      <c r="D465" s="11" t="s">
        <v>34</v>
      </c>
      <c r="E465" s="12">
        <v>9.5</v>
      </c>
      <c r="F465" s="12">
        <v>161.5</v>
      </c>
    </row>
    <row r="466" spans="1:18" ht="32" x14ac:dyDescent="0.2">
      <c r="A466" s="9" t="s">
        <v>12</v>
      </c>
      <c r="B466" s="10" t="s">
        <v>579</v>
      </c>
      <c r="C466" s="8">
        <v>839</v>
      </c>
      <c r="D466" s="11" t="s">
        <v>34</v>
      </c>
      <c r="E466" s="12">
        <v>2.85</v>
      </c>
      <c r="F466" s="12">
        <v>2391.15</v>
      </c>
      <c r="G466" s="8">
        <v>29</v>
      </c>
      <c r="H466" s="8">
        <v>48</v>
      </c>
      <c r="I466" s="8">
        <v>63</v>
      </c>
      <c r="J466" s="8">
        <f>C466*0.3</f>
        <v>251.7</v>
      </c>
      <c r="M466" s="8">
        <v>10.5</v>
      </c>
      <c r="N466" s="8">
        <v>10.5</v>
      </c>
      <c r="O466" s="8">
        <v>10.5</v>
      </c>
      <c r="P466" s="8">
        <f>M466*J466</f>
        <v>2642.85</v>
      </c>
      <c r="Q466" s="8">
        <f>N466*J466</f>
        <v>2642.85</v>
      </c>
      <c r="R466" s="8">
        <f>O466*J466</f>
        <v>2642.85</v>
      </c>
    </row>
    <row r="467" spans="1:18" ht="48" x14ac:dyDescent="0.2">
      <c r="A467" s="9" t="s">
        <v>13</v>
      </c>
      <c r="B467" s="10" t="s">
        <v>580</v>
      </c>
      <c r="C467" s="8">
        <v>103</v>
      </c>
      <c r="D467" s="11" t="s">
        <v>34</v>
      </c>
      <c r="E467" s="12">
        <v>3</v>
      </c>
      <c r="F467" s="12">
        <v>309</v>
      </c>
      <c r="G467" s="8">
        <v>29</v>
      </c>
      <c r="H467" s="8">
        <v>48</v>
      </c>
      <c r="I467" s="8">
        <v>63</v>
      </c>
      <c r="J467" s="8">
        <f>C467*0.3</f>
        <v>30.9</v>
      </c>
      <c r="M467" s="8">
        <v>10.5</v>
      </c>
      <c r="N467" s="8">
        <v>10.5</v>
      </c>
      <c r="O467" s="8">
        <v>10.5</v>
      </c>
      <c r="P467" s="8">
        <f t="shared" ref="P467" si="154">M467*J467</f>
        <v>324.45</v>
      </c>
      <c r="Q467" s="8">
        <f t="shared" ref="Q467" si="155">N467*J467</f>
        <v>324.45</v>
      </c>
      <c r="R467" s="8">
        <f t="shared" ref="R467" si="156">O467*J467</f>
        <v>324.45</v>
      </c>
    </row>
    <row r="468" spans="1:18" ht="16" x14ac:dyDescent="0.2">
      <c r="A468" s="9" t="s">
        <v>14</v>
      </c>
      <c r="B468" s="10" t="s">
        <v>581</v>
      </c>
      <c r="C468" s="8">
        <v>4</v>
      </c>
      <c r="D468" s="11" t="s">
        <v>35</v>
      </c>
      <c r="E468" s="12">
        <v>81.099999999999994</v>
      </c>
      <c r="F468" s="12">
        <v>324.39999999999998</v>
      </c>
      <c r="G468" s="8">
        <v>5</v>
      </c>
      <c r="H468" s="8">
        <v>7</v>
      </c>
      <c r="I468" s="8">
        <v>10</v>
      </c>
      <c r="M468" s="8">
        <f>N468*0.7</f>
        <v>130.9</v>
      </c>
      <c r="N468" s="8">
        <v>187</v>
      </c>
      <c r="O468" s="8">
        <f>N468*1.3</f>
        <v>243.1</v>
      </c>
      <c r="P468" s="8">
        <f>M468*C468</f>
        <v>523.6</v>
      </c>
      <c r="Q468" s="8">
        <f>N468*C468</f>
        <v>748</v>
      </c>
      <c r="R468" s="8">
        <f>O468*C468</f>
        <v>972.4</v>
      </c>
    </row>
    <row r="469" spans="1:18" ht="16" x14ac:dyDescent="0.2">
      <c r="A469" s="9" t="s">
        <v>15</v>
      </c>
      <c r="B469" s="10" t="s">
        <v>582</v>
      </c>
      <c r="C469" s="8">
        <v>17</v>
      </c>
      <c r="D469" s="11" t="s">
        <v>34</v>
      </c>
      <c r="E469" s="12">
        <v>24.35</v>
      </c>
      <c r="F469" s="12">
        <v>413.95</v>
      </c>
      <c r="G469" s="8">
        <v>41</v>
      </c>
      <c r="H469" s="8">
        <v>68</v>
      </c>
      <c r="I469" s="8">
        <v>107</v>
      </c>
    </row>
    <row r="470" spans="1:18" ht="32" x14ac:dyDescent="0.2">
      <c r="A470" s="9" t="s">
        <v>16</v>
      </c>
      <c r="B470" s="10" t="s">
        <v>583</v>
      </c>
      <c r="C470" s="8">
        <v>483</v>
      </c>
      <c r="D470" s="11" t="s">
        <v>35</v>
      </c>
      <c r="E470" s="12">
        <v>12.95</v>
      </c>
      <c r="F470" s="12">
        <v>6254.85</v>
      </c>
      <c r="G470" s="8">
        <v>50</v>
      </c>
      <c r="H470" s="8">
        <v>85</v>
      </c>
      <c r="I470" s="8">
        <v>120</v>
      </c>
      <c r="J470" s="8">
        <f>0.15*C470</f>
        <v>72.45</v>
      </c>
      <c r="K470" s="8">
        <v>1890</v>
      </c>
      <c r="M470" s="8">
        <f>45*0.6</f>
        <v>27</v>
      </c>
      <c r="N470" s="8">
        <v>45</v>
      </c>
      <c r="O470" s="8">
        <f>45*1.4</f>
        <v>62.999999999999993</v>
      </c>
      <c r="P470" s="8">
        <f>M470*K470*J470</f>
        <v>3697123.5</v>
      </c>
      <c r="Q470" s="8">
        <f>N470*K470*J470</f>
        <v>6161872.5</v>
      </c>
      <c r="R470" s="8">
        <f>O470*K470*J470</f>
        <v>8626621.5</v>
      </c>
    </row>
    <row r="471" spans="1:18" ht="16" x14ac:dyDescent="0.2">
      <c r="A471" s="9" t="s">
        <v>6</v>
      </c>
      <c r="B471" s="10" t="s">
        <v>584</v>
      </c>
      <c r="C471" s="8">
        <v>839</v>
      </c>
      <c r="D471" s="11" t="s">
        <v>34</v>
      </c>
      <c r="E471" s="12">
        <v>8.06</v>
      </c>
      <c r="F471" s="12">
        <v>6762.34</v>
      </c>
      <c r="G471" s="8">
        <v>21</v>
      </c>
      <c r="H471" s="8">
        <v>36</v>
      </c>
      <c r="I471" s="8">
        <v>48</v>
      </c>
      <c r="J471" s="8">
        <f>C471*0.144*0.018</f>
        <v>2.1746879999999997</v>
      </c>
      <c r="K471" s="8">
        <v>510</v>
      </c>
      <c r="M471" s="8">
        <v>11</v>
      </c>
      <c r="N471" s="8">
        <v>11</v>
      </c>
      <c r="O471" s="8">
        <v>11</v>
      </c>
      <c r="P471" s="8">
        <f>M471*K471*J471</f>
        <v>12199.999679999999</v>
      </c>
      <c r="Q471" s="8">
        <f>N471*K471*J471</f>
        <v>12199.999679999999</v>
      </c>
      <c r="R471" s="8">
        <f>O471*K471*J471</f>
        <v>12199.999679999999</v>
      </c>
    </row>
    <row r="472" spans="1:18" ht="16" x14ac:dyDescent="0.2">
      <c r="A472" s="9" t="s">
        <v>9</v>
      </c>
      <c r="B472" s="10" t="s">
        <v>585</v>
      </c>
      <c r="C472" s="8">
        <v>103</v>
      </c>
      <c r="D472" s="11" t="s">
        <v>34</v>
      </c>
      <c r="E472" s="12">
        <v>8.57</v>
      </c>
      <c r="F472" s="12">
        <v>882.71</v>
      </c>
      <c r="G472" s="8">
        <v>21</v>
      </c>
      <c r="H472" s="8">
        <v>36</v>
      </c>
      <c r="I472" s="8">
        <v>48</v>
      </c>
    </row>
    <row r="473" spans="1:18" ht="32" x14ac:dyDescent="0.2">
      <c r="A473" s="9" t="s">
        <v>10</v>
      </c>
      <c r="B473" s="10" t="s">
        <v>586</v>
      </c>
      <c r="C473" s="8">
        <v>305</v>
      </c>
      <c r="D473" s="11" t="s">
        <v>34</v>
      </c>
      <c r="E473" s="12">
        <v>1.25</v>
      </c>
      <c r="F473" s="12">
        <v>381.25</v>
      </c>
      <c r="G473" s="8">
        <v>5</v>
      </c>
      <c r="H473" s="8">
        <v>15</v>
      </c>
      <c r="I473" s="8">
        <v>25</v>
      </c>
      <c r="J473" s="8">
        <f>C473*0.006*0.006</f>
        <v>1.098E-2</v>
      </c>
      <c r="K473" s="8">
        <v>1700</v>
      </c>
      <c r="M473" s="8">
        <v>8</v>
      </c>
      <c r="N473" s="8">
        <v>8</v>
      </c>
      <c r="O473" s="8">
        <v>8</v>
      </c>
      <c r="P473" s="8">
        <f>M473*K473*J473</f>
        <v>149.328</v>
      </c>
      <c r="Q473" s="8">
        <f>N473*K473*J473</f>
        <v>149.328</v>
      </c>
      <c r="R473" s="8">
        <f>O473*K473*J473</f>
        <v>149.328</v>
      </c>
    </row>
    <row r="474" spans="1:18" ht="32" x14ac:dyDescent="0.2">
      <c r="A474" s="9" t="s">
        <v>11</v>
      </c>
      <c r="B474" s="10" t="s">
        <v>586</v>
      </c>
      <c r="C474" s="8">
        <v>943</v>
      </c>
      <c r="D474" s="11" t="s">
        <v>34</v>
      </c>
      <c r="E474" s="12">
        <v>1.25</v>
      </c>
      <c r="F474" s="12">
        <v>1178.75</v>
      </c>
      <c r="G474" s="8">
        <v>5</v>
      </c>
      <c r="H474" s="8">
        <v>15</v>
      </c>
      <c r="I474" s="8">
        <v>25</v>
      </c>
      <c r="J474" s="8">
        <f>C474*0.006*0.006</f>
        <v>3.3948000000000006E-2</v>
      </c>
      <c r="K474" s="8">
        <v>1700</v>
      </c>
      <c r="M474" s="8">
        <v>8</v>
      </c>
      <c r="N474" s="8">
        <v>8</v>
      </c>
      <c r="O474" s="8">
        <v>8</v>
      </c>
      <c r="P474" s="8">
        <f>M474*K474*J474</f>
        <v>461.69280000000009</v>
      </c>
      <c r="Q474" s="8">
        <f>N474*K474*J474</f>
        <v>461.69280000000009</v>
      </c>
      <c r="R474" s="8">
        <f>O474*K474*J474</f>
        <v>461.69280000000009</v>
      </c>
    </row>
    <row r="475" spans="1:18" ht="16" x14ac:dyDescent="0.2">
      <c r="A475" s="9" t="s">
        <v>12</v>
      </c>
      <c r="B475" s="10" t="s">
        <v>587</v>
      </c>
      <c r="C475" s="8">
        <v>1057</v>
      </c>
      <c r="D475" s="11" t="s">
        <v>35</v>
      </c>
      <c r="E475" s="12">
        <v>2.5</v>
      </c>
      <c r="F475" s="12">
        <v>2642.5</v>
      </c>
      <c r="G475" s="8">
        <v>1</v>
      </c>
      <c r="H475" s="8">
        <v>1</v>
      </c>
      <c r="I475" s="8">
        <v>1</v>
      </c>
      <c r="J475" s="8">
        <f>C475*0.002</f>
        <v>2.1139999999999999</v>
      </c>
      <c r="K475" s="8">
        <v>920</v>
      </c>
      <c r="M475" s="8">
        <v>45</v>
      </c>
      <c r="N475" s="8">
        <v>61.67</v>
      </c>
      <c r="O475" s="8">
        <v>78.34</v>
      </c>
      <c r="P475" s="8">
        <f t="shared" ref="P475:P478" si="157">M475*K475*J475</f>
        <v>87519.599999999991</v>
      </c>
      <c r="Q475" s="8">
        <f t="shared" ref="Q475:Q478" si="158">N475*K475*J475</f>
        <v>119940.7496</v>
      </c>
      <c r="R475" s="8">
        <f t="shared" ref="R475:R478" si="159">O475*K475*J475</f>
        <v>152361.89919999999</v>
      </c>
    </row>
    <row r="476" spans="1:18" ht="32" x14ac:dyDescent="0.2">
      <c r="A476" s="9" t="s">
        <v>13</v>
      </c>
      <c r="B476" s="10" t="s">
        <v>588</v>
      </c>
      <c r="C476" s="8">
        <v>79</v>
      </c>
      <c r="D476" s="11" t="s">
        <v>34</v>
      </c>
      <c r="E476" s="12">
        <v>3</v>
      </c>
      <c r="F476" s="12">
        <v>237</v>
      </c>
      <c r="G476" s="8">
        <v>1</v>
      </c>
      <c r="H476" s="8">
        <v>1</v>
      </c>
      <c r="I476" s="8">
        <v>1</v>
      </c>
      <c r="K476" s="8">
        <v>920</v>
      </c>
      <c r="M476" s="8">
        <v>45</v>
      </c>
      <c r="N476" s="8">
        <v>61.67</v>
      </c>
      <c r="O476" s="8">
        <v>78.34</v>
      </c>
    </row>
    <row r="477" spans="1:18" ht="32" x14ac:dyDescent="0.2">
      <c r="A477" s="9" t="s">
        <v>14</v>
      </c>
      <c r="B477" s="10" t="s">
        <v>589</v>
      </c>
      <c r="C477" s="8">
        <v>91</v>
      </c>
      <c r="D477" s="11" t="s">
        <v>34</v>
      </c>
      <c r="E477" s="12">
        <v>3</v>
      </c>
      <c r="F477" s="12">
        <v>273</v>
      </c>
      <c r="G477" s="8">
        <v>1</v>
      </c>
      <c r="H477" s="8">
        <v>1</v>
      </c>
      <c r="I477" s="8">
        <v>1</v>
      </c>
      <c r="K477" s="8">
        <v>920</v>
      </c>
      <c r="M477" s="8">
        <v>45</v>
      </c>
      <c r="N477" s="8">
        <v>61.67</v>
      </c>
      <c r="O477" s="8">
        <v>78.34</v>
      </c>
    </row>
    <row r="478" spans="1:18" ht="32" x14ac:dyDescent="0.2">
      <c r="A478" s="9" t="s">
        <v>15</v>
      </c>
      <c r="B478" s="10" t="s">
        <v>590</v>
      </c>
      <c r="C478" s="8">
        <v>2</v>
      </c>
      <c r="D478" s="11" t="s">
        <v>35</v>
      </c>
      <c r="E478" s="12">
        <v>2.5</v>
      </c>
      <c r="F478" s="12">
        <v>5</v>
      </c>
      <c r="G478" s="8">
        <v>1</v>
      </c>
      <c r="H478" s="8">
        <v>1</v>
      </c>
      <c r="I478" s="8">
        <v>1</v>
      </c>
      <c r="J478" s="8">
        <f>0.002*C478</f>
        <v>4.0000000000000001E-3</v>
      </c>
      <c r="K478" s="8">
        <v>920</v>
      </c>
      <c r="M478" s="8">
        <v>45</v>
      </c>
      <c r="N478" s="8">
        <v>61.67</v>
      </c>
      <c r="O478" s="8">
        <v>78.34</v>
      </c>
      <c r="P478" s="8">
        <f t="shared" si="157"/>
        <v>165.6</v>
      </c>
      <c r="Q478" s="8">
        <f t="shared" si="158"/>
        <v>226.94560000000001</v>
      </c>
      <c r="R478" s="8">
        <f t="shared" si="159"/>
        <v>288.2912</v>
      </c>
    </row>
    <row r="479" spans="1:18" ht="32" x14ac:dyDescent="0.2">
      <c r="A479" s="9" t="s">
        <v>16</v>
      </c>
      <c r="B479" s="10" t="s">
        <v>591</v>
      </c>
      <c r="C479" s="8">
        <v>6</v>
      </c>
      <c r="D479" s="11" t="s">
        <v>34</v>
      </c>
      <c r="E479" s="12">
        <v>3</v>
      </c>
      <c r="F479" s="12">
        <v>18</v>
      </c>
      <c r="G479" s="8">
        <v>1</v>
      </c>
      <c r="H479" s="8">
        <v>1</v>
      </c>
      <c r="I479" s="8">
        <v>1</v>
      </c>
      <c r="K479" s="8">
        <v>920</v>
      </c>
      <c r="M479" s="8">
        <v>45</v>
      </c>
      <c r="N479" s="8">
        <v>61.67</v>
      </c>
      <c r="O479" s="8">
        <v>78.34</v>
      </c>
    </row>
    <row r="480" spans="1:18" ht="16" x14ac:dyDescent="0.2">
      <c r="A480" s="9" t="s">
        <v>17</v>
      </c>
      <c r="B480" s="10" t="s">
        <v>592</v>
      </c>
      <c r="C480" s="8">
        <v>1057</v>
      </c>
      <c r="D480" s="11" t="s">
        <v>35</v>
      </c>
      <c r="E480" s="12">
        <v>1.5</v>
      </c>
      <c r="F480" s="12">
        <v>1585.5</v>
      </c>
      <c r="G480" s="8">
        <v>1</v>
      </c>
      <c r="H480" s="8">
        <v>1</v>
      </c>
      <c r="I480" s="8">
        <v>1</v>
      </c>
    </row>
    <row r="481" spans="1:18" ht="16" x14ac:dyDescent="0.2">
      <c r="A481" s="9" t="s">
        <v>18</v>
      </c>
      <c r="B481" s="10" t="s">
        <v>593</v>
      </c>
      <c r="C481" s="8">
        <v>79</v>
      </c>
      <c r="D481" s="11" t="s">
        <v>34</v>
      </c>
      <c r="E481" s="12">
        <v>1</v>
      </c>
      <c r="F481" s="12">
        <v>79</v>
      </c>
      <c r="G481" s="8">
        <v>1</v>
      </c>
      <c r="H481" s="8">
        <v>1</v>
      </c>
      <c r="I481" s="8">
        <v>1</v>
      </c>
    </row>
    <row r="482" spans="1:18" ht="16" x14ac:dyDescent="0.2">
      <c r="A482" s="9" t="s">
        <v>19</v>
      </c>
      <c r="B482" s="10" t="s">
        <v>594</v>
      </c>
      <c r="C482" s="8">
        <v>91</v>
      </c>
      <c r="D482" s="11" t="s">
        <v>34</v>
      </c>
      <c r="E482" s="12">
        <v>1</v>
      </c>
      <c r="F482" s="12">
        <v>91</v>
      </c>
      <c r="G482" s="8">
        <v>1</v>
      </c>
      <c r="H482" s="8">
        <v>1</v>
      </c>
      <c r="I482" s="8">
        <v>1</v>
      </c>
    </row>
    <row r="483" spans="1:18" ht="16" x14ac:dyDescent="0.2">
      <c r="A483" s="9" t="s">
        <v>20</v>
      </c>
      <c r="B483" s="10" t="s">
        <v>595</v>
      </c>
      <c r="C483" s="8">
        <v>2</v>
      </c>
      <c r="D483" s="11" t="s">
        <v>35</v>
      </c>
      <c r="E483" s="12">
        <v>1.5</v>
      </c>
      <c r="F483" s="12">
        <v>3</v>
      </c>
      <c r="G483" s="8">
        <v>1</v>
      </c>
      <c r="H483" s="8">
        <v>1</v>
      </c>
      <c r="I483" s="8">
        <v>1</v>
      </c>
    </row>
    <row r="484" spans="1:18" ht="16" x14ac:dyDescent="0.2">
      <c r="A484" s="9" t="s">
        <v>21</v>
      </c>
      <c r="B484" s="10" t="s">
        <v>596</v>
      </c>
      <c r="C484" s="8">
        <v>6</v>
      </c>
      <c r="D484" s="11" t="s">
        <v>34</v>
      </c>
      <c r="E484" s="12">
        <v>1</v>
      </c>
      <c r="F484" s="12">
        <v>6</v>
      </c>
      <c r="G484" s="8">
        <v>1</v>
      </c>
      <c r="H484" s="8">
        <v>1</v>
      </c>
      <c r="I484" s="8">
        <v>1</v>
      </c>
    </row>
    <row r="485" spans="1:18" ht="32" x14ac:dyDescent="0.2">
      <c r="A485" s="9" t="s">
        <v>6</v>
      </c>
      <c r="B485" s="10" t="s">
        <v>597</v>
      </c>
      <c r="C485" s="8">
        <v>293</v>
      </c>
      <c r="D485" s="11" t="s">
        <v>35</v>
      </c>
      <c r="E485" s="12">
        <v>5.7</v>
      </c>
      <c r="F485" s="12">
        <v>1670.1</v>
      </c>
      <c r="G485" s="8">
        <v>24</v>
      </c>
      <c r="H485" s="8">
        <v>40</v>
      </c>
      <c r="I485" s="8">
        <v>50</v>
      </c>
      <c r="J485" s="8">
        <f>C485*0.015</f>
        <v>4.3949999999999996</v>
      </c>
      <c r="K485" s="13">
        <v>950</v>
      </c>
      <c r="L485" s="13"/>
      <c r="M485" s="13">
        <v>1.4</v>
      </c>
      <c r="N485" s="13">
        <v>1.8</v>
      </c>
      <c r="O485" s="13">
        <v>3.2</v>
      </c>
      <c r="P485" s="8">
        <f>M485*K485*J485</f>
        <v>5845.3499999999995</v>
      </c>
      <c r="Q485" s="8">
        <f>N485*K485*J485</f>
        <v>7515.4499999999989</v>
      </c>
      <c r="R485" s="8">
        <f>O485*K485*J485</f>
        <v>13360.8</v>
      </c>
    </row>
    <row r="486" spans="1:18" ht="32" x14ac:dyDescent="0.2">
      <c r="A486" s="9" t="s">
        <v>9</v>
      </c>
      <c r="B486" s="10" t="s">
        <v>598</v>
      </c>
      <c r="C486" s="8">
        <v>13</v>
      </c>
      <c r="D486" s="11" t="s">
        <v>35</v>
      </c>
      <c r="E486" s="12">
        <v>7.25</v>
      </c>
      <c r="F486" s="12">
        <v>94.25</v>
      </c>
      <c r="G486" s="8">
        <v>24</v>
      </c>
      <c r="H486" s="8">
        <v>40</v>
      </c>
      <c r="I486" s="8">
        <v>50</v>
      </c>
      <c r="J486" s="8">
        <f>C486*0.015</f>
        <v>0.19500000000000001</v>
      </c>
      <c r="K486" s="13">
        <v>950</v>
      </c>
      <c r="L486" s="13"/>
      <c r="M486" s="13">
        <v>1.4</v>
      </c>
      <c r="N486" s="13">
        <v>1.8</v>
      </c>
      <c r="O486" s="13">
        <v>3.2</v>
      </c>
      <c r="P486" s="8">
        <f t="shared" ref="P486" si="160">M486*K486*J486</f>
        <v>259.35000000000002</v>
      </c>
      <c r="Q486" s="8">
        <f t="shared" ref="Q486" si="161">N486*K486*J486</f>
        <v>333.45</v>
      </c>
      <c r="R486" s="8">
        <f t="shared" ref="R486" si="162">O486*K486*J486</f>
        <v>592.80000000000007</v>
      </c>
    </row>
    <row r="487" spans="1:18" ht="32" x14ac:dyDescent="0.2">
      <c r="A487" s="9" t="s">
        <v>10</v>
      </c>
      <c r="B487" s="10" t="s">
        <v>602</v>
      </c>
      <c r="C487" s="8">
        <v>61</v>
      </c>
      <c r="D487" s="11" t="s">
        <v>36</v>
      </c>
      <c r="E487" s="12">
        <v>4.5</v>
      </c>
      <c r="F487" s="12">
        <v>274.5</v>
      </c>
      <c r="G487" s="8">
        <v>24</v>
      </c>
      <c r="H487" s="8">
        <v>40</v>
      </c>
      <c r="I487" s="8">
        <v>50</v>
      </c>
    </row>
    <row r="488" spans="1:18" ht="16" x14ac:dyDescent="0.2">
      <c r="A488" s="9" t="s">
        <v>11</v>
      </c>
      <c r="B488" s="10" t="s">
        <v>601</v>
      </c>
      <c r="C488" s="8">
        <v>1</v>
      </c>
      <c r="D488" s="11" t="s">
        <v>7</v>
      </c>
      <c r="E488" s="12">
        <v>500</v>
      </c>
      <c r="F488" s="12">
        <v>500</v>
      </c>
      <c r="G488" s="8">
        <v>24</v>
      </c>
      <c r="H488" s="8">
        <v>40</v>
      </c>
      <c r="I488" s="8">
        <v>50</v>
      </c>
    </row>
    <row r="489" spans="1:18" ht="32" x14ac:dyDescent="0.2">
      <c r="A489" s="9" t="s">
        <v>12</v>
      </c>
      <c r="B489" s="10" t="s">
        <v>599</v>
      </c>
      <c r="C489" s="8">
        <v>1</v>
      </c>
      <c r="D489" s="11" t="s">
        <v>7</v>
      </c>
      <c r="E489" s="12">
        <v>500</v>
      </c>
      <c r="F489" s="12">
        <v>500</v>
      </c>
      <c r="G489" s="8">
        <v>1</v>
      </c>
      <c r="H489" s="8">
        <v>1</v>
      </c>
      <c r="I489" s="8">
        <v>1</v>
      </c>
    </row>
    <row r="490" spans="1:18" ht="32" x14ac:dyDescent="0.2">
      <c r="A490" s="9" t="s">
        <v>13</v>
      </c>
      <c r="B490" s="10" t="s">
        <v>600</v>
      </c>
      <c r="C490" s="8">
        <v>25</v>
      </c>
      <c r="D490" s="11" t="s">
        <v>35</v>
      </c>
      <c r="E490" s="12">
        <v>1.35</v>
      </c>
      <c r="F490" s="12">
        <v>33.75</v>
      </c>
    </row>
    <row r="491" spans="1:18" ht="32" x14ac:dyDescent="0.2">
      <c r="A491" s="9" t="s">
        <v>14</v>
      </c>
      <c r="B491" s="10" t="s">
        <v>603</v>
      </c>
      <c r="C491" s="8">
        <v>273</v>
      </c>
      <c r="D491" s="11" t="s">
        <v>35</v>
      </c>
      <c r="E491" s="12">
        <v>7.2</v>
      </c>
      <c r="F491" s="12">
        <v>1965.6</v>
      </c>
      <c r="G491" s="8">
        <v>24</v>
      </c>
      <c r="H491" s="8">
        <v>40</v>
      </c>
      <c r="I491" s="8">
        <v>50</v>
      </c>
      <c r="J491" s="8">
        <f>C491*0.015</f>
        <v>4.0949999999999998</v>
      </c>
      <c r="K491" s="13">
        <v>950</v>
      </c>
      <c r="L491" s="13"/>
      <c r="M491" s="13">
        <v>1.4</v>
      </c>
      <c r="N491" s="13">
        <v>1.8</v>
      </c>
      <c r="O491" s="13">
        <v>3.2</v>
      </c>
      <c r="P491" s="8">
        <f t="shared" ref="P491" si="163">M491*K491*J491</f>
        <v>5446.3499999999995</v>
      </c>
      <c r="Q491" s="8">
        <f t="shared" ref="Q491" si="164">N491*K491*J491</f>
        <v>7002.45</v>
      </c>
      <c r="R491" s="8">
        <f t="shared" ref="R491" si="165">O491*K491*J491</f>
        <v>12448.8</v>
      </c>
    </row>
    <row r="492" spans="1:18" ht="32" x14ac:dyDescent="0.2">
      <c r="A492" s="9" t="s">
        <v>15</v>
      </c>
      <c r="B492" s="10" t="s">
        <v>604</v>
      </c>
      <c r="C492" s="8">
        <v>187</v>
      </c>
      <c r="D492" s="11" t="s">
        <v>35</v>
      </c>
      <c r="E492" s="12">
        <v>7.2</v>
      </c>
      <c r="F492" s="12">
        <v>1346.4</v>
      </c>
      <c r="G492" s="8">
        <v>24</v>
      </c>
      <c r="H492" s="8">
        <v>40</v>
      </c>
      <c r="I492" s="8">
        <v>50</v>
      </c>
      <c r="J492" s="8">
        <f>C492*0.015</f>
        <v>2.8049999999999997</v>
      </c>
      <c r="K492" s="13">
        <v>950</v>
      </c>
      <c r="L492" s="13"/>
      <c r="M492" s="13">
        <v>1.4</v>
      </c>
      <c r="N492" s="13">
        <v>1.8</v>
      </c>
      <c r="O492" s="13">
        <v>3.2</v>
      </c>
      <c r="P492" s="8">
        <f t="shared" ref="P492" si="166">M492*K492*J492</f>
        <v>3730.6499999999996</v>
      </c>
      <c r="Q492" s="8">
        <f t="shared" ref="Q492" si="167">N492*K492*J492</f>
        <v>4796.5499999999993</v>
      </c>
      <c r="R492" s="8">
        <f t="shared" ref="R492" si="168">O492*K492*J492</f>
        <v>8527.1999999999989</v>
      </c>
    </row>
    <row r="493" spans="1:18" ht="32" x14ac:dyDescent="0.2">
      <c r="A493" s="9" t="s">
        <v>16</v>
      </c>
      <c r="B493" s="10" t="s">
        <v>602</v>
      </c>
      <c r="C493" s="8">
        <v>84</v>
      </c>
      <c r="D493" s="11" t="s">
        <v>36</v>
      </c>
      <c r="E493" s="12">
        <v>4.5</v>
      </c>
      <c r="F493" s="12">
        <v>378</v>
      </c>
      <c r="G493" s="8">
        <v>24</v>
      </c>
      <c r="H493" s="8">
        <v>40</v>
      </c>
      <c r="I493" s="8">
        <v>50</v>
      </c>
    </row>
    <row r="494" spans="1:18" ht="16" x14ac:dyDescent="0.2">
      <c r="A494" s="9" t="s">
        <v>17</v>
      </c>
      <c r="B494" s="10" t="s">
        <v>601</v>
      </c>
      <c r="C494" s="8">
        <v>1</v>
      </c>
      <c r="D494" s="11" t="s">
        <v>7</v>
      </c>
      <c r="E494" s="12">
        <v>500</v>
      </c>
      <c r="F494" s="12">
        <v>500</v>
      </c>
      <c r="G494" s="8">
        <v>24</v>
      </c>
      <c r="H494" s="8">
        <v>40</v>
      </c>
      <c r="I494" s="8">
        <v>50</v>
      </c>
    </row>
    <row r="495" spans="1:18" ht="32" x14ac:dyDescent="0.2">
      <c r="A495" s="9" t="s">
        <v>18</v>
      </c>
      <c r="B495" s="10" t="s">
        <v>599</v>
      </c>
      <c r="C495" s="8">
        <v>1</v>
      </c>
      <c r="D495" s="11" t="s">
        <v>7</v>
      </c>
      <c r="E495" s="12">
        <v>500</v>
      </c>
      <c r="F495" s="12">
        <v>500</v>
      </c>
      <c r="G495" s="8">
        <v>1</v>
      </c>
      <c r="H495" s="8">
        <v>1</v>
      </c>
      <c r="I495" s="8">
        <v>1</v>
      </c>
    </row>
    <row r="496" spans="1:18" ht="32" x14ac:dyDescent="0.2">
      <c r="A496" s="9" t="s">
        <v>19</v>
      </c>
      <c r="B496" s="10" t="s">
        <v>605</v>
      </c>
      <c r="C496" s="8">
        <v>49</v>
      </c>
      <c r="D496" s="11" t="s">
        <v>35</v>
      </c>
      <c r="E496" s="12">
        <v>1.35</v>
      </c>
      <c r="F496" s="12">
        <v>66.150000000000006</v>
      </c>
      <c r="J496" s="8">
        <f>C496*0.015</f>
        <v>0.73499999999999999</v>
      </c>
      <c r="K496" s="13">
        <v>950</v>
      </c>
      <c r="L496" s="13"/>
      <c r="M496" s="13">
        <v>1.4</v>
      </c>
      <c r="N496" s="13">
        <v>1.8</v>
      </c>
      <c r="O496" s="13">
        <v>3.2</v>
      </c>
      <c r="P496" s="13">
        <v>259.35000000000002</v>
      </c>
      <c r="Q496" s="13">
        <v>333.45</v>
      </c>
      <c r="R496" s="13">
        <v>592.79999999999995</v>
      </c>
    </row>
    <row r="497" spans="1:18" ht="48" x14ac:dyDescent="0.2">
      <c r="A497" s="9" t="s">
        <v>6</v>
      </c>
      <c r="B497" s="10" t="s">
        <v>606</v>
      </c>
      <c r="C497" s="8">
        <v>340</v>
      </c>
      <c r="D497" s="11" t="s">
        <v>35</v>
      </c>
      <c r="E497" s="12">
        <v>21.3</v>
      </c>
      <c r="F497" s="12">
        <v>7242</v>
      </c>
      <c r="G497" s="8">
        <v>17</v>
      </c>
      <c r="H497" s="8">
        <v>26</v>
      </c>
      <c r="I497" s="8">
        <v>37</v>
      </c>
      <c r="J497" s="8">
        <f>C497*0.015</f>
        <v>5.0999999999999996</v>
      </c>
      <c r="K497" s="13">
        <v>950</v>
      </c>
      <c r="L497" s="13"/>
      <c r="M497" s="13">
        <v>1.4</v>
      </c>
      <c r="N497" s="13">
        <v>1.8</v>
      </c>
      <c r="O497" s="13">
        <v>3.2</v>
      </c>
      <c r="P497" s="13">
        <v>259.35000000000002</v>
      </c>
      <c r="Q497" s="13">
        <v>333.45</v>
      </c>
      <c r="R497" s="13">
        <v>592.79999999999995</v>
      </c>
    </row>
    <row r="498" spans="1:18" ht="48" x14ac:dyDescent="0.2">
      <c r="A498" s="9" t="s">
        <v>9</v>
      </c>
      <c r="B498" s="10" t="s">
        <v>607</v>
      </c>
      <c r="C498" s="8">
        <v>5</v>
      </c>
      <c r="D498" s="11" t="s">
        <v>35</v>
      </c>
      <c r="E498" s="12">
        <v>25</v>
      </c>
      <c r="F498" s="12">
        <v>125</v>
      </c>
      <c r="G498" s="8">
        <v>17</v>
      </c>
      <c r="H498" s="8">
        <v>26</v>
      </c>
      <c r="I498" s="8">
        <v>37</v>
      </c>
      <c r="J498" s="8">
        <f>C498*0.015</f>
        <v>7.4999999999999997E-2</v>
      </c>
      <c r="K498" s="13">
        <v>950</v>
      </c>
      <c r="L498" s="13"/>
      <c r="M498" s="13">
        <v>1.4</v>
      </c>
      <c r="N498" s="13">
        <v>1.8</v>
      </c>
      <c r="O498" s="13">
        <v>3.2</v>
      </c>
      <c r="P498" s="13">
        <v>259.35000000000002</v>
      </c>
      <c r="Q498" s="13">
        <v>333.45</v>
      </c>
      <c r="R498" s="13">
        <v>592.79999999999995</v>
      </c>
    </row>
    <row r="499" spans="1:18" ht="32" x14ac:dyDescent="0.2">
      <c r="A499" s="9" t="s">
        <v>10</v>
      </c>
      <c r="B499" s="10" t="s">
        <v>608</v>
      </c>
      <c r="C499" s="8">
        <v>69</v>
      </c>
      <c r="D499" s="11" t="s">
        <v>36</v>
      </c>
      <c r="E499" s="12">
        <v>4.5</v>
      </c>
      <c r="F499" s="12">
        <v>310.5</v>
      </c>
      <c r="G499" s="8">
        <v>17</v>
      </c>
      <c r="H499" s="8">
        <v>26</v>
      </c>
      <c r="I499" s="8">
        <v>37</v>
      </c>
    </row>
    <row r="500" spans="1:18" ht="16" x14ac:dyDescent="0.2">
      <c r="A500" s="9" t="s">
        <v>11</v>
      </c>
      <c r="B500" s="10" t="s">
        <v>609</v>
      </c>
      <c r="C500" s="8">
        <v>1</v>
      </c>
      <c r="D500" s="11" t="s">
        <v>7</v>
      </c>
      <c r="E500" s="12">
        <v>500</v>
      </c>
      <c r="F500" s="12">
        <v>500</v>
      </c>
      <c r="G500" s="8">
        <v>17</v>
      </c>
      <c r="H500" s="8">
        <v>26</v>
      </c>
      <c r="I500" s="8">
        <v>37</v>
      </c>
    </row>
    <row r="501" spans="1:18" ht="32" x14ac:dyDescent="0.2">
      <c r="A501" s="9" t="s">
        <v>12</v>
      </c>
      <c r="B501" s="10" t="s">
        <v>610</v>
      </c>
      <c r="C501" s="8">
        <v>1</v>
      </c>
      <c r="D501" s="11" t="s">
        <v>7</v>
      </c>
      <c r="E501" s="12">
        <v>500</v>
      </c>
      <c r="F501" s="12">
        <v>500</v>
      </c>
      <c r="G501" s="8">
        <v>1</v>
      </c>
      <c r="H501" s="8">
        <v>1</v>
      </c>
      <c r="I501" s="8">
        <v>1</v>
      </c>
    </row>
    <row r="502" spans="1:18" ht="32" x14ac:dyDescent="0.2">
      <c r="A502" s="9" t="s">
        <v>13</v>
      </c>
      <c r="B502" s="10" t="s">
        <v>611</v>
      </c>
      <c r="C502" s="8">
        <v>30</v>
      </c>
      <c r="D502" s="11" t="s">
        <v>35</v>
      </c>
      <c r="E502" s="12">
        <v>1.35</v>
      </c>
      <c r="F502" s="12">
        <v>40.5</v>
      </c>
      <c r="J502" s="8">
        <f>C502*0.015</f>
        <v>0.44999999999999996</v>
      </c>
      <c r="K502" s="13">
        <v>950</v>
      </c>
      <c r="L502" s="13"/>
      <c r="M502" s="13">
        <v>1.4</v>
      </c>
      <c r="N502" s="13">
        <v>1.8</v>
      </c>
      <c r="O502" s="13">
        <v>3.2</v>
      </c>
      <c r="P502" s="13">
        <v>259.35000000000002</v>
      </c>
      <c r="Q502" s="13">
        <v>333.45</v>
      </c>
      <c r="R502" s="13">
        <v>592.79999999999995</v>
      </c>
    </row>
    <row r="503" spans="1:18" ht="32" x14ac:dyDescent="0.2">
      <c r="A503" s="9" t="s">
        <v>14</v>
      </c>
      <c r="B503" s="10" t="s">
        <v>612</v>
      </c>
      <c r="C503" s="8">
        <v>906</v>
      </c>
      <c r="D503" s="11" t="s">
        <v>35</v>
      </c>
      <c r="E503" s="12">
        <v>5</v>
      </c>
      <c r="F503" s="12">
        <v>4530</v>
      </c>
      <c r="G503" s="8">
        <v>23</v>
      </c>
      <c r="H503" s="8">
        <v>38</v>
      </c>
      <c r="I503" s="8">
        <v>48</v>
      </c>
      <c r="J503" s="8">
        <f>C503*0.003</f>
        <v>2.718</v>
      </c>
      <c r="K503" s="13">
        <v>950</v>
      </c>
      <c r="L503" s="13"/>
      <c r="M503" s="13">
        <v>1.4</v>
      </c>
      <c r="N503" s="13">
        <v>1.8</v>
      </c>
      <c r="O503" s="13">
        <v>3.2</v>
      </c>
      <c r="P503" s="13">
        <v>259.35000000000002</v>
      </c>
      <c r="Q503" s="13">
        <v>333.45</v>
      </c>
      <c r="R503" s="13">
        <v>592.79999999999995</v>
      </c>
    </row>
    <row r="504" spans="1:18" ht="32" x14ac:dyDescent="0.2">
      <c r="A504" s="9" t="s">
        <v>15</v>
      </c>
      <c r="B504" s="10" t="s">
        <v>613</v>
      </c>
      <c r="C504" s="8">
        <v>205</v>
      </c>
      <c r="D504" s="11" t="s">
        <v>35</v>
      </c>
      <c r="E504" s="12">
        <v>5</v>
      </c>
      <c r="F504" s="12">
        <v>1025</v>
      </c>
      <c r="G504" s="8">
        <v>23</v>
      </c>
      <c r="H504" s="8">
        <v>38</v>
      </c>
      <c r="I504" s="8">
        <v>48</v>
      </c>
      <c r="J504" s="8">
        <f>C504*0.003</f>
        <v>0.61499999999999999</v>
      </c>
      <c r="K504" s="13">
        <v>950</v>
      </c>
      <c r="L504" s="13"/>
      <c r="M504" s="13">
        <v>1.4</v>
      </c>
      <c r="N504" s="13">
        <v>1.8</v>
      </c>
      <c r="O504" s="13">
        <v>3.2</v>
      </c>
      <c r="P504" s="13">
        <v>259.35000000000002</v>
      </c>
      <c r="Q504" s="13">
        <v>333.45</v>
      </c>
      <c r="R504" s="13">
        <v>592.79999999999995</v>
      </c>
    </row>
    <row r="505" spans="1:18" ht="16" x14ac:dyDescent="0.2">
      <c r="A505" s="9" t="s">
        <v>16</v>
      </c>
      <c r="B505" s="10" t="s">
        <v>614</v>
      </c>
      <c r="C505" s="8">
        <v>1109</v>
      </c>
      <c r="D505" s="11" t="s">
        <v>34</v>
      </c>
      <c r="E505" s="12">
        <v>3.85</v>
      </c>
      <c r="F505" s="12">
        <v>4269.6499999999996</v>
      </c>
    </row>
    <row r="506" spans="1:18" ht="16" x14ac:dyDescent="0.2">
      <c r="A506" s="9" t="s">
        <v>17</v>
      </c>
      <c r="B506" s="10" t="s">
        <v>615</v>
      </c>
      <c r="C506" s="8">
        <v>470</v>
      </c>
      <c r="D506" s="11" t="s">
        <v>36</v>
      </c>
      <c r="E506" s="12">
        <v>0.5</v>
      </c>
      <c r="F506" s="12">
        <v>235</v>
      </c>
    </row>
    <row r="507" spans="1:18" ht="48" x14ac:dyDescent="0.2">
      <c r="A507" s="9" t="s">
        <v>6</v>
      </c>
      <c r="B507" s="10" t="s">
        <v>616</v>
      </c>
      <c r="C507" s="8">
        <v>1009</v>
      </c>
      <c r="D507" s="11" t="s">
        <v>35</v>
      </c>
      <c r="E507" s="12">
        <v>3.35</v>
      </c>
      <c r="F507" s="12">
        <v>3380.15</v>
      </c>
      <c r="G507" s="8">
        <v>4</v>
      </c>
      <c r="H507" s="8">
        <v>7</v>
      </c>
      <c r="I507" s="8">
        <v>11</v>
      </c>
      <c r="M507" s="8">
        <v>10.5</v>
      </c>
      <c r="N507" s="8">
        <v>10.5</v>
      </c>
      <c r="O507" s="8">
        <v>10.5</v>
      </c>
      <c r="P507" s="8">
        <f>M507*C507</f>
        <v>10594.5</v>
      </c>
      <c r="Q507" s="8">
        <f>N507*C507</f>
        <v>10594.5</v>
      </c>
      <c r="R507" s="8">
        <f>O507*C507</f>
        <v>10594.5</v>
      </c>
    </row>
    <row r="508" spans="1:18" ht="48" x14ac:dyDescent="0.2">
      <c r="A508" s="9" t="s">
        <v>9</v>
      </c>
      <c r="B508" s="10" t="s">
        <v>617</v>
      </c>
      <c r="C508" s="8">
        <v>1109</v>
      </c>
      <c r="D508" s="11" t="s">
        <v>34</v>
      </c>
      <c r="E508" s="12">
        <v>1</v>
      </c>
      <c r="F508" s="12">
        <v>1109</v>
      </c>
      <c r="G508" s="8">
        <v>4</v>
      </c>
      <c r="H508" s="8">
        <v>7</v>
      </c>
      <c r="I508" s="8">
        <v>11</v>
      </c>
      <c r="J508" s="8">
        <f>C508*0.3</f>
        <v>332.7</v>
      </c>
      <c r="M508" s="8">
        <v>10.5</v>
      </c>
      <c r="N508" s="8">
        <v>10.5</v>
      </c>
      <c r="O508" s="8">
        <v>10.5</v>
      </c>
      <c r="P508" s="8">
        <f>M508*J508</f>
        <v>3493.35</v>
      </c>
      <c r="Q508" s="8">
        <f>N508*J508</f>
        <v>3493.35</v>
      </c>
      <c r="R508" s="8">
        <f>O508*J508</f>
        <v>3493.35</v>
      </c>
    </row>
    <row r="509" spans="1:18" ht="48" x14ac:dyDescent="0.2">
      <c r="A509" s="9" t="s">
        <v>10</v>
      </c>
      <c r="B509" s="10" t="s">
        <v>616</v>
      </c>
      <c r="C509" s="8">
        <v>103</v>
      </c>
      <c r="D509" s="11" t="s">
        <v>35</v>
      </c>
      <c r="E509" s="12">
        <v>4.3499999999999996</v>
      </c>
      <c r="F509" s="12">
        <v>448.05</v>
      </c>
      <c r="G509" s="8">
        <v>4</v>
      </c>
      <c r="H509" s="8">
        <v>7</v>
      </c>
      <c r="I509" s="8">
        <v>11</v>
      </c>
      <c r="M509" s="8">
        <v>10.5</v>
      </c>
      <c r="N509" s="8">
        <v>10.5</v>
      </c>
      <c r="O509" s="8">
        <v>10.5</v>
      </c>
      <c r="P509" s="8">
        <f>M509*C509</f>
        <v>1081.5</v>
      </c>
      <c r="Q509" s="8">
        <f>N509*C509</f>
        <v>1081.5</v>
      </c>
      <c r="R509" s="8">
        <f>O509*C509</f>
        <v>1081.5</v>
      </c>
    </row>
    <row r="510" spans="1:18" ht="16" x14ac:dyDescent="0.2">
      <c r="A510" s="9" t="s">
        <v>6</v>
      </c>
      <c r="B510" s="10" t="s">
        <v>8</v>
      </c>
      <c r="C510" s="8">
        <v>1</v>
      </c>
      <c r="D510" s="11" t="s">
        <v>7</v>
      </c>
      <c r="E510" s="12">
        <v>0</v>
      </c>
      <c r="F510" s="12">
        <v>0</v>
      </c>
    </row>
    <row r="511" spans="1:18" ht="32" x14ac:dyDescent="0.2">
      <c r="A511" s="9" t="s">
        <v>9</v>
      </c>
      <c r="B511" s="10" t="s">
        <v>618</v>
      </c>
      <c r="C511" s="8">
        <v>10</v>
      </c>
      <c r="D511" s="11" t="s">
        <v>36</v>
      </c>
      <c r="E511" s="12">
        <v>60</v>
      </c>
      <c r="F511" s="12">
        <v>600</v>
      </c>
      <c r="G511" s="8">
        <v>5</v>
      </c>
      <c r="H511" s="8">
        <v>7</v>
      </c>
      <c r="I511" s="8">
        <v>10</v>
      </c>
      <c r="J511" s="8">
        <f>0.6*0.9*0.006*10</f>
        <v>3.2400000000000005E-2</v>
      </c>
      <c r="K511" s="8">
        <v>2500</v>
      </c>
      <c r="M511" s="8">
        <v>12.3</v>
      </c>
      <c r="N511" s="8">
        <v>16.809999999999999</v>
      </c>
      <c r="O511" s="8">
        <v>25.09</v>
      </c>
      <c r="P511" s="8">
        <f>M511*K511*J511</f>
        <v>996.30000000000018</v>
      </c>
      <c r="Q511" s="8">
        <f>N511*K511*J511</f>
        <v>1361.6100000000001</v>
      </c>
      <c r="R511" s="8">
        <f>O511*K511*J511</f>
        <v>2032.2900000000004</v>
      </c>
    </row>
    <row r="512" spans="1:18" ht="32" x14ac:dyDescent="0.2">
      <c r="A512" s="9" t="s">
        <v>10</v>
      </c>
      <c r="B512" s="10" t="s">
        <v>619</v>
      </c>
      <c r="C512" s="8">
        <v>10</v>
      </c>
      <c r="D512" s="11" t="s">
        <v>36</v>
      </c>
      <c r="E512" s="12">
        <v>211.2</v>
      </c>
      <c r="F512" s="12">
        <v>2112</v>
      </c>
      <c r="G512" s="8">
        <v>5</v>
      </c>
      <c r="H512" s="8">
        <v>7</v>
      </c>
      <c r="I512" s="8">
        <v>10</v>
      </c>
      <c r="J512" s="8">
        <f>1.2*1.6*10*0.006</f>
        <v>0.1152</v>
      </c>
      <c r="K512" s="8">
        <v>2500</v>
      </c>
      <c r="M512" s="8">
        <v>12.3</v>
      </c>
      <c r="N512" s="8">
        <v>16.809999999999999</v>
      </c>
      <c r="O512" s="8">
        <v>25.09</v>
      </c>
      <c r="P512" s="8">
        <f>M512*K512*J512</f>
        <v>3542.4</v>
      </c>
      <c r="Q512" s="8">
        <f>N512*K512*J512</f>
        <v>4841.28</v>
      </c>
      <c r="R512" s="8">
        <f>O512*K512*J512</f>
        <v>7225.92</v>
      </c>
    </row>
    <row r="513" spans="1:18" ht="48" x14ac:dyDescent="0.2">
      <c r="A513" s="9" t="s">
        <v>11</v>
      </c>
      <c r="B513" s="10" t="s">
        <v>620</v>
      </c>
      <c r="C513" s="8">
        <v>20</v>
      </c>
      <c r="D513" s="11" t="s">
        <v>36</v>
      </c>
      <c r="E513" s="12">
        <v>64.78</v>
      </c>
      <c r="F513" s="12">
        <v>1295.5999999999999</v>
      </c>
      <c r="G513" s="8">
        <v>10</v>
      </c>
      <c r="H513" s="8">
        <v>20</v>
      </c>
      <c r="I513" s="8">
        <v>30</v>
      </c>
      <c r="J513" s="8">
        <f>2*0.026*20</f>
        <v>1.04</v>
      </c>
      <c r="K513" s="8">
        <v>550</v>
      </c>
      <c r="M513" s="8">
        <v>0.72</v>
      </c>
      <c r="N513" s="8">
        <v>7.4</v>
      </c>
      <c r="O513" s="8">
        <v>13</v>
      </c>
      <c r="P513" s="8">
        <f t="shared" ref="P513" si="169">M513*K513*J513</f>
        <v>411.84000000000003</v>
      </c>
      <c r="Q513" s="8">
        <f t="shared" ref="Q513" si="170">N513*K513*J513</f>
        <v>4232.8</v>
      </c>
      <c r="R513" s="8">
        <f t="shared" ref="R513" si="171">O513*K513*J513</f>
        <v>7436</v>
      </c>
    </row>
    <row r="514" spans="1:18" ht="16" x14ac:dyDescent="0.2">
      <c r="A514" s="9" t="s">
        <v>12</v>
      </c>
      <c r="B514" s="10" t="s">
        <v>621</v>
      </c>
      <c r="C514" s="8">
        <v>1</v>
      </c>
      <c r="D514" s="11" t="s">
        <v>7</v>
      </c>
      <c r="E514" s="12">
        <v>650</v>
      </c>
      <c r="F514" s="12">
        <v>650</v>
      </c>
      <c r="G514" s="8">
        <v>10</v>
      </c>
      <c r="H514" s="8">
        <v>15</v>
      </c>
      <c r="I514" s="8">
        <v>18</v>
      </c>
      <c r="J514" s="8">
        <f>0.675*31*0.25</f>
        <v>5.2312500000000002</v>
      </c>
      <c r="K514" s="8">
        <v>2500</v>
      </c>
      <c r="M514" s="8">
        <v>16.5</v>
      </c>
      <c r="N514" s="8">
        <v>28</v>
      </c>
      <c r="O514" s="8">
        <v>42</v>
      </c>
      <c r="P514" s="8">
        <f t="shared" ref="P514" si="172">M514*K514*J514</f>
        <v>215789.0625</v>
      </c>
      <c r="Q514" s="8">
        <f t="shared" ref="Q514" si="173">N514*K514*J514</f>
        <v>366187.5</v>
      </c>
      <c r="R514" s="8">
        <f t="shared" ref="R514" si="174">O514*K514*J514</f>
        <v>549281.25</v>
      </c>
    </row>
    <row r="515" spans="1:18" ht="16" x14ac:dyDescent="0.2">
      <c r="A515" s="9" t="s">
        <v>13</v>
      </c>
      <c r="B515" s="10" t="s">
        <v>622</v>
      </c>
      <c r="C515" s="8">
        <v>1</v>
      </c>
      <c r="D515" s="11" t="s">
        <v>7</v>
      </c>
      <c r="E515" s="12">
        <v>650</v>
      </c>
      <c r="F515" s="12">
        <v>650</v>
      </c>
      <c r="G515" s="8">
        <v>7</v>
      </c>
      <c r="H515" s="8">
        <v>7</v>
      </c>
      <c r="I515" s="8">
        <v>7</v>
      </c>
      <c r="J515" s="8">
        <f>0.2*0.045*0.18</f>
        <v>1.6199999999999999E-3</v>
      </c>
      <c r="K515" s="8">
        <v>2500</v>
      </c>
      <c r="M515" s="8">
        <v>16.5</v>
      </c>
      <c r="N515" s="8">
        <v>28</v>
      </c>
      <c r="O515" s="8">
        <v>42</v>
      </c>
      <c r="P515" s="8">
        <f t="shared" ref="P515" si="175">M515*K515*J515</f>
        <v>66.825000000000003</v>
      </c>
      <c r="Q515" s="8">
        <f t="shared" ref="Q515" si="176">N515*K515*J515</f>
        <v>113.39999999999999</v>
      </c>
      <c r="R515" s="8">
        <f t="shared" ref="R515" si="177">O515*K515*J515</f>
        <v>170.1</v>
      </c>
    </row>
    <row r="516" spans="1:18" ht="16" x14ac:dyDescent="0.2">
      <c r="A516" s="9" t="s">
        <v>14</v>
      </c>
      <c r="B516" s="10" t="s">
        <v>623</v>
      </c>
      <c r="C516" s="8">
        <v>10</v>
      </c>
      <c r="D516" s="11" t="s">
        <v>36</v>
      </c>
      <c r="E516" s="12">
        <v>0</v>
      </c>
      <c r="F516" s="12">
        <v>0</v>
      </c>
    </row>
    <row r="517" spans="1:18" ht="32" x14ac:dyDescent="0.2">
      <c r="A517" s="9" t="s">
        <v>6</v>
      </c>
      <c r="B517" s="10" t="s">
        <v>624</v>
      </c>
      <c r="C517" s="8">
        <v>10</v>
      </c>
      <c r="D517" s="11" t="s">
        <v>36</v>
      </c>
      <c r="E517" s="12">
        <v>0</v>
      </c>
      <c r="F517" s="12">
        <v>0</v>
      </c>
      <c r="J517" s="8">
        <f>3*0.62*0.04*10</f>
        <v>0.74399999999999999</v>
      </c>
      <c r="K517" s="13">
        <v>700</v>
      </c>
      <c r="L517" s="13"/>
      <c r="M517" s="13">
        <v>0.33</v>
      </c>
      <c r="N517" s="13">
        <v>5.38</v>
      </c>
      <c r="O517" s="13">
        <v>16</v>
      </c>
      <c r="P517" s="8">
        <f>M517*K517*J517</f>
        <v>171.864</v>
      </c>
      <c r="Q517" s="8">
        <f>N517*K517*J517</f>
        <v>2801.904</v>
      </c>
      <c r="R517" s="8">
        <f>O517*K517*J517</f>
        <v>8332.7999999999993</v>
      </c>
    </row>
    <row r="518" spans="1:18" ht="32" x14ac:dyDescent="0.2">
      <c r="A518" s="9" t="s">
        <v>9</v>
      </c>
      <c r="B518" s="10" t="s">
        <v>625</v>
      </c>
      <c r="C518" s="8">
        <v>10</v>
      </c>
      <c r="D518" s="11" t="s">
        <v>36</v>
      </c>
      <c r="E518" s="12">
        <v>0</v>
      </c>
      <c r="F518" s="12">
        <v>0</v>
      </c>
    </row>
    <row r="519" spans="1:18" ht="48" x14ac:dyDescent="0.2">
      <c r="A519" s="9" t="s">
        <v>10</v>
      </c>
      <c r="B519" s="10" t="s">
        <v>626</v>
      </c>
      <c r="C519" s="8">
        <v>10</v>
      </c>
      <c r="D519" s="11" t="s">
        <v>36</v>
      </c>
      <c r="E519" s="12">
        <v>0</v>
      </c>
      <c r="F519" s="12">
        <v>0</v>
      </c>
    </row>
    <row r="520" spans="1:18" ht="16" x14ac:dyDescent="0.2">
      <c r="A520" s="9" t="s">
        <v>11</v>
      </c>
      <c r="B520" s="10" t="s">
        <v>58</v>
      </c>
      <c r="C520" s="8">
        <v>10</v>
      </c>
      <c r="D520" s="11" t="s">
        <v>36</v>
      </c>
      <c r="E520" s="12">
        <v>0</v>
      </c>
      <c r="F520" s="12">
        <v>0</v>
      </c>
    </row>
    <row r="521" spans="1:18" ht="16" x14ac:dyDescent="0.2">
      <c r="A521" s="9" t="s">
        <v>12</v>
      </c>
      <c r="B521" s="10" t="s">
        <v>58</v>
      </c>
      <c r="C521" s="8">
        <v>10</v>
      </c>
      <c r="D521" s="11" t="s">
        <v>36</v>
      </c>
      <c r="E521" s="12">
        <v>0</v>
      </c>
      <c r="F521" s="12">
        <v>0</v>
      </c>
    </row>
    <row r="522" spans="1:18" ht="16" x14ac:dyDescent="0.2">
      <c r="A522" s="9" t="s">
        <v>13</v>
      </c>
      <c r="B522" s="10" t="s">
        <v>59</v>
      </c>
      <c r="C522" s="8">
        <v>10</v>
      </c>
      <c r="D522" s="11" t="s">
        <v>36</v>
      </c>
      <c r="E522" s="12">
        <v>0</v>
      </c>
      <c r="F522" s="12">
        <v>0</v>
      </c>
    </row>
    <row r="523" spans="1:18" ht="16" x14ac:dyDescent="0.2">
      <c r="A523" s="9" t="s">
        <v>14</v>
      </c>
      <c r="B523" s="10" t="s">
        <v>60</v>
      </c>
      <c r="C523" s="8">
        <v>10</v>
      </c>
      <c r="D523" s="11" t="s">
        <v>36</v>
      </c>
      <c r="E523" s="12">
        <v>0</v>
      </c>
      <c r="F523" s="12">
        <v>0</v>
      </c>
    </row>
    <row r="524" spans="1:18" ht="16" x14ac:dyDescent="0.2">
      <c r="A524" s="9" t="s">
        <v>15</v>
      </c>
      <c r="B524" s="10" t="s">
        <v>627</v>
      </c>
      <c r="C524" s="8">
        <v>1</v>
      </c>
      <c r="D524" s="11" t="s">
        <v>7</v>
      </c>
      <c r="E524" s="12">
        <v>250</v>
      </c>
      <c r="F524" s="12">
        <v>250</v>
      </c>
      <c r="G524" s="8">
        <v>10</v>
      </c>
      <c r="H524" s="8">
        <v>20</v>
      </c>
      <c r="I524" s="8">
        <v>30</v>
      </c>
      <c r="J524" s="8">
        <f>0.07*0.09*0.003</f>
        <v>1.8900000000000002E-5</v>
      </c>
      <c r="K524" s="8">
        <v>2700</v>
      </c>
      <c r="M524" s="8">
        <f>155*0.8</f>
        <v>124</v>
      </c>
      <c r="N524" s="8">
        <v>155</v>
      </c>
      <c r="O524" s="8">
        <f>155*1.2</f>
        <v>186</v>
      </c>
      <c r="P524" s="8">
        <f>M524*K524*J524</f>
        <v>6.3277200000000002</v>
      </c>
      <c r="Q524" s="8">
        <f>N524*K524*J524</f>
        <v>7.909650000000001</v>
      </c>
      <c r="R524" s="8">
        <f>O524*K524*J524</f>
        <v>9.4915800000000008</v>
      </c>
    </row>
    <row r="525" spans="1:18" ht="16" x14ac:dyDescent="0.2">
      <c r="A525" s="9" t="s">
        <v>16</v>
      </c>
      <c r="B525" s="10" t="s">
        <v>627</v>
      </c>
      <c r="C525" s="8">
        <v>1</v>
      </c>
      <c r="D525" s="11" t="s">
        <v>7</v>
      </c>
      <c r="E525" s="12">
        <v>250</v>
      </c>
      <c r="F525" s="12">
        <v>250</v>
      </c>
      <c r="G525" s="8">
        <v>10</v>
      </c>
      <c r="H525" s="8">
        <v>20</v>
      </c>
      <c r="I525" s="8">
        <v>30</v>
      </c>
      <c r="J525" s="8">
        <f>0.07*0.09*0.003</f>
        <v>1.8900000000000002E-5</v>
      </c>
      <c r="K525" s="8">
        <v>2700</v>
      </c>
      <c r="M525" s="8">
        <f>155*0.8</f>
        <v>124</v>
      </c>
      <c r="N525" s="8">
        <v>155</v>
      </c>
      <c r="O525" s="8">
        <f>155*1.2</f>
        <v>186</v>
      </c>
      <c r="P525" s="8">
        <f>M525*K525*J525</f>
        <v>6.3277200000000002</v>
      </c>
      <c r="Q525" s="8">
        <f>N525*K525*J525</f>
        <v>7.909650000000001</v>
      </c>
      <c r="R525" s="8">
        <f>O525*K525*J525</f>
        <v>9.4915800000000008</v>
      </c>
    </row>
    <row r="526" spans="1:18" ht="16" x14ac:dyDescent="0.2">
      <c r="A526" s="9" t="s">
        <v>6</v>
      </c>
      <c r="B526" s="10" t="s">
        <v>628</v>
      </c>
      <c r="C526" s="8">
        <v>1</v>
      </c>
      <c r="D526" s="11" t="s">
        <v>7</v>
      </c>
      <c r="E526" s="12">
        <v>250</v>
      </c>
      <c r="F526" s="12">
        <v>250</v>
      </c>
      <c r="G526" s="8">
        <v>10</v>
      </c>
      <c r="H526" s="8">
        <v>20</v>
      </c>
      <c r="I526" s="8">
        <v>30</v>
      </c>
      <c r="J526" s="8">
        <f>0.07*0.09*0.003</f>
        <v>1.8900000000000002E-5</v>
      </c>
      <c r="K526" s="8">
        <v>2700</v>
      </c>
      <c r="M526" s="8">
        <f>155*0.8</f>
        <v>124</v>
      </c>
      <c r="N526" s="8">
        <v>155</v>
      </c>
      <c r="O526" s="8">
        <f>155*1.2</f>
        <v>186</v>
      </c>
      <c r="P526" s="8">
        <f>M526*K526*J526</f>
        <v>6.3277200000000002</v>
      </c>
      <c r="Q526" s="8">
        <f>N526*K526*J526</f>
        <v>7.909650000000001</v>
      </c>
      <c r="R526" s="8">
        <f>O526*K526*J526</f>
        <v>9.4915800000000008</v>
      </c>
    </row>
    <row r="527" spans="1:18" ht="16" x14ac:dyDescent="0.2">
      <c r="A527" s="9" t="s">
        <v>9</v>
      </c>
      <c r="B527" s="10" t="s">
        <v>628</v>
      </c>
      <c r="C527" s="8">
        <v>1</v>
      </c>
      <c r="D527" s="11" t="s">
        <v>7</v>
      </c>
      <c r="E527" s="12">
        <v>250</v>
      </c>
      <c r="F527" s="12">
        <v>250</v>
      </c>
      <c r="G527" s="8">
        <v>10</v>
      </c>
      <c r="H527" s="8">
        <v>20</v>
      </c>
      <c r="I527" s="8">
        <v>30</v>
      </c>
      <c r="J527" s="8">
        <f>0.07*0.09*0.003</f>
        <v>1.8900000000000002E-5</v>
      </c>
      <c r="K527" s="8">
        <v>2700</v>
      </c>
      <c r="M527" s="8">
        <f>155*0.8</f>
        <v>124</v>
      </c>
      <c r="N527" s="8">
        <v>155</v>
      </c>
      <c r="O527" s="8">
        <f>155*1.2</f>
        <v>186</v>
      </c>
      <c r="P527" s="8">
        <f>M527*K527*J527</f>
        <v>6.3277200000000002</v>
      </c>
      <c r="Q527" s="8">
        <f>N527*K527*J527</f>
        <v>7.909650000000001</v>
      </c>
      <c r="R527" s="8">
        <f>O527*K527*J527</f>
        <v>9.4915800000000008</v>
      </c>
    </row>
    <row r="528" spans="1:18" ht="64" x14ac:dyDescent="0.2">
      <c r="A528" s="9" t="s">
        <v>6</v>
      </c>
      <c r="B528" s="10" t="s">
        <v>629</v>
      </c>
      <c r="C528" s="8">
        <v>1</v>
      </c>
      <c r="D528" s="11" t="s">
        <v>7</v>
      </c>
      <c r="E528" s="14" t="s">
        <v>37</v>
      </c>
      <c r="F528" s="14" t="s">
        <v>37</v>
      </c>
    </row>
    <row r="529" spans="1:10" ht="64" x14ac:dyDescent="0.2">
      <c r="A529" s="9" t="s">
        <v>9</v>
      </c>
      <c r="B529" s="10" t="s">
        <v>630</v>
      </c>
      <c r="C529" s="8">
        <v>1</v>
      </c>
      <c r="D529" s="11" t="s">
        <v>7</v>
      </c>
      <c r="E529" s="14" t="s">
        <v>37</v>
      </c>
      <c r="F529" s="14" t="s">
        <v>37</v>
      </c>
    </row>
    <row r="530" spans="1:10" ht="64" x14ac:dyDescent="0.2">
      <c r="A530" s="9" t="s">
        <v>10</v>
      </c>
      <c r="B530" s="10" t="s">
        <v>631</v>
      </c>
      <c r="C530" s="8">
        <v>1</v>
      </c>
      <c r="D530" s="11" t="s">
        <v>7</v>
      </c>
      <c r="E530" s="14" t="s">
        <v>37</v>
      </c>
      <c r="F530" s="14" t="s">
        <v>37</v>
      </c>
    </row>
    <row r="531" spans="1:10" ht="64" x14ac:dyDescent="0.2">
      <c r="A531" s="9" t="s">
        <v>11</v>
      </c>
      <c r="B531" s="10" t="s">
        <v>632</v>
      </c>
      <c r="C531" s="8">
        <v>1</v>
      </c>
      <c r="D531" s="11" t="s">
        <v>7</v>
      </c>
      <c r="E531" s="14" t="s">
        <v>37</v>
      </c>
      <c r="F531" s="14" t="s">
        <v>37</v>
      </c>
    </row>
    <row r="532" spans="1:10" ht="32" x14ac:dyDescent="0.2">
      <c r="A532" s="9" t="s">
        <v>12</v>
      </c>
      <c r="B532" s="10" t="s">
        <v>61</v>
      </c>
      <c r="C532" s="8">
        <v>1</v>
      </c>
      <c r="D532" s="11" t="s">
        <v>7</v>
      </c>
      <c r="E532" s="14" t="s">
        <v>37</v>
      </c>
      <c r="F532" s="14" t="s">
        <v>37</v>
      </c>
    </row>
    <row r="533" spans="1:10" ht="32" x14ac:dyDescent="0.2">
      <c r="A533" s="9" t="s">
        <v>13</v>
      </c>
      <c r="B533" s="10" t="s">
        <v>62</v>
      </c>
      <c r="C533" s="8">
        <v>1</v>
      </c>
      <c r="D533" s="11" t="s">
        <v>7</v>
      </c>
      <c r="E533" s="14" t="s">
        <v>37</v>
      </c>
      <c r="F533" s="14" t="s">
        <v>37</v>
      </c>
    </row>
    <row r="534" spans="1:10" ht="48" x14ac:dyDescent="0.2">
      <c r="A534" s="9" t="s">
        <v>6</v>
      </c>
      <c r="B534" s="10" t="s">
        <v>633</v>
      </c>
      <c r="C534" s="8">
        <v>1</v>
      </c>
      <c r="D534" s="11" t="s">
        <v>7</v>
      </c>
      <c r="E534" s="12">
        <v>99590</v>
      </c>
      <c r="F534" s="12">
        <v>99590</v>
      </c>
      <c r="G534" s="8">
        <v>1</v>
      </c>
      <c r="H534" s="8">
        <v>1</v>
      </c>
      <c r="I534" s="8">
        <v>1</v>
      </c>
    </row>
    <row r="535" spans="1:10" ht="48" x14ac:dyDescent="0.2">
      <c r="A535" s="9" t="s">
        <v>9</v>
      </c>
      <c r="B535" s="10" t="s">
        <v>634</v>
      </c>
      <c r="C535" s="8">
        <v>1</v>
      </c>
      <c r="D535" s="11" t="s">
        <v>7</v>
      </c>
      <c r="E535" s="14" t="s">
        <v>37</v>
      </c>
      <c r="F535" s="14" t="s">
        <v>37</v>
      </c>
    </row>
    <row r="536" spans="1:10" ht="48" x14ac:dyDescent="0.2">
      <c r="A536" s="9" t="s">
        <v>10</v>
      </c>
      <c r="B536" s="10" t="s">
        <v>635</v>
      </c>
      <c r="C536" s="8">
        <v>1</v>
      </c>
      <c r="D536" s="11" t="s">
        <v>7</v>
      </c>
      <c r="E536" s="14" t="s">
        <v>37</v>
      </c>
      <c r="F536" s="14" t="s">
        <v>37</v>
      </c>
    </row>
    <row r="537" spans="1:10" ht="48" x14ac:dyDescent="0.2">
      <c r="A537" s="9" t="s">
        <v>11</v>
      </c>
      <c r="B537" s="10" t="s">
        <v>636</v>
      </c>
      <c r="C537" s="8">
        <v>1</v>
      </c>
      <c r="D537" s="11" t="s">
        <v>7</v>
      </c>
      <c r="E537" s="14" t="s">
        <v>37</v>
      </c>
      <c r="F537" s="14" t="s">
        <v>37</v>
      </c>
    </row>
    <row r="538" spans="1:10" ht="16" x14ac:dyDescent="0.2">
      <c r="A538" s="9" t="s">
        <v>12</v>
      </c>
      <c r="B538" s="10" t="s">
        <v>63</v>
      </c>
      <c r="C538" s="8">
        <v>1</v>
      </c>
      <c r="D538" s="11" t="s">
        <v>7</v>
      </c>
      <c r="E538" s="14" t="s">
        <v>37</v>
      </c>
      <c r="F538" s="14" t="s">
        <v>37</v>
      </c>
    </row>
    <row r="539" spans="1:10" ht="32" x14ac:dyDescent="0.2">
      <c r="A539" s="9" t="s">
        <v>13</v>
      </c>
      <c r="B539" s="10" t="s">
        <v>64</v>
      </c>
      <c r="C539" s="8">
        <v>1</v>
      </c>
      <c r="D539" s="11" t="s">
        <v>7</v>
      </c>
      <c r="E539" s="14" t="s">
        <v>37</v>
      </c>
      <c r="F539" s="14" t="s">
        <v>37</v>
      </c>
    </row>
    <row r="540" spans="1:10" ht="48" x14ac:dyDescent="0.2">
      <c r="A540" s="9" t="s">
        <v>6</v>
      </c>
      <c r="B540" s="10" t="s">
        <v>637</v>
      </c>
      <c r="C540" s="8">
        <v>1</v>
      </c>
      <c r="D540" s="11" t="s">
        <v>7</v>
      </c>
      <c r="E540" s="12">
        <v>74724.240000000005</v>
      </c>
      <c r="F540" s="12">
        <v>74724.240000000005</v>
      </c>
      <c r="G540" s="8">
        <v>20</v>
      </c>
      <c r="H540" s="8">
        <v>30</v>
      </c>
      <c r="I540" s="8">
        <v>43</v>
      </c>
      <c r="J540" s="8" t="s">
        <v>102</v>
      </c>
    </row>
    <row r="541" spans="1:10" ht="48" x14ac:dyDescent="0.2">
      <c r="A541" s="9" t="s">
        <v>9</v>
      </c>
      <c r="B541" s="10" t="s">
        <v>638</v>
      </c>
      <c r="C541" s="8">
        <v>1</v>
      </c>
      <c r="D541" s="11" t="s">
        <v>7</v>
      </c>
      <c r="E541" s="14" t="s">
        <v>37</v>
      </c>
      <c r="F541" s="14" t="s">
        <v>37</v>
      </c>
    </row>
    <row r="542" spans="1:10" ht="48" x14ac:dyDescent="0.2">
      <c r="A542" s="9" t="s">
        <v>10</v>
      </c>
      <c r="B542" s="10" t="s">
        <v>639</v>
      </c>
      <c r="C542" s="8">
        <v>1</v>
      </c>
      <c r="D542" s="11" t="s">
        <v>7</v>
      </c>
      <c r="E542" s="14" t="s">
        <v>37</v>
      </c>
      <c r="F542" s="14" t="s">
        <v>37</v>
      </c>
    </row>
    <row r="543" spans="1:10" ht="48" x14ac:dyDescent="0.2">
      <c r="A543" s="9" t="s">
        <v>11</v>
      </c>
      <c r="B543" s="10" t="s">
        <v>640</v>
      </c>
      <c r="C543" s="8">
        <v>1</v>
      </c>
      <c r="D543" s="11" t="s">
        <v>7</v>
      </c>
      <c r="E543" s="14" t="s">
        <v>37</v>
      </c>
      <c r="F543" s="14" t="s">
        <v>37</v>
      </c>
    </row>
    <row r="544" spans="1:10" ht="48" x14ac:dyDescent="0.2">
      <c r="A544" s="9" t="s">
        <v>12</v>
      </c>
      <c r="B544" s="10" t="s">
        <v>641</v>
      </c>
      <c r="C544" s="8">
        <v>1</v>
      </c>
      <c r="D544" s="11" t="s">
        <v>7</v>
      </c>
      <c r="E544" s="14" t="s">
        <v>37</v>
      </c>
      <c r="F544" s="14" t="s">
        <v>37</v>
      </c>
    </row>
    <row r="545" spans="1:18" ht="16" x14ac:dyDescent="0.2">
      <c r="A545" s="9" t="s">
        <v>13</v>
      </c>
      <c r="B545" s="10" t="s">
        <v>65</v>
      </c>
      <c r="C545" s="8">
        <v>1</v>
      </c>
      <c r="D545" s="11" t="s">
        <v>7</v>
      </c>
      <c r="E545" s="14" t="s">
        <v>37</v>
      </c>
      <c r="F545" s="14" t="s">
        <v>37</v>
      </c>
    </row>
    <row r="546" spans="1:18" ht="32" x14ac:dyDescent="0.2">
      <c r="A546" s="9" t="s">
        <v>14</v>
      </c>
      <c r="B546" s="10" t="s">
        <v>66</v>
      </c>
      <c r="C546" s="8">
        <v>1</v>
      </c>
      <c r="D546" s="11" t="s">
        <v>7</v>
      </c>
      <c r="E546" s="14" t="s">
        <v>37</v>
      </c>
      <c r="F546" s="14" t="s">
        <v>37</v>
      </c>
    </row>
    <row r="547" spans="1:18" ht="48" x14ac:dyDescent="0.2">
      <c r="A547" s="9" t="s">
        <v>6</v>
      </c>
      <c r="B547" s="10" t="s">
        <v>642</v>
      </c>
      <c r="C547" s="8">
        <v>1</v>
      </c>
      <c r="D547" s="11" t="s">
        <v>36</v>
      </c>
      <c r="E547" s="12">
        <v>21385</v>
      </c>
      <c r="F547" s="12">
        <v>21385</v>
      </c>
      <c r="G547" s="8">
        <v>19</v>
      </c>
      <c r="H547" s="8">
        <v>26</v>
      </c>
      <c r="I547" s="8">
        <v>34</v>
      </c>
    </row>
    <row r="548" spans="1:18" ht="16" x14ac:dyDescent="0.2">
      <c r="A548" s="9" t="s">
        <v>9</v>
      </c>
      <c r="B548" s="10" t="s">
        <v>643</v>
      </c>
      <c r="C548" s="8">
        <v>1</v>
      </c>
      <c r="D548" s="11" t="s">
        <v>7</v>
      </c>
      <c r="E548" s="14" t="s">
        <v>67</v>
      </c>
      <c r="F548" s="14" t="s">
        <v>67</v>
      </c>
    </row>
    <row r="549" spans="1:18" ht="32" x14ac:dyDescent="0.2">
      <c r="A549" s="9" t="s">
        <v>10</v>
      </c>
      <c r="B549" s="10" t="s">
        <v>68</v>
      </c>
      <c r="C549" s="8">
        <v>1</v>
      </c>
      <c r="D549" s="11" t="s">
        <v>7</v>
      </c>
      <c r="E549" s="14" t="s">
        <v>37</v>
      </c>
      <c r="F549" s="14" t="s">
        <v>37</v>
      </c>
    </row>
    <row r="550" spans="1:18" ht="16" x14ac:dyDescent="0.2">
      <c r="A550" s="9" t="s">
        <v>11</v>
      </c>
      <c r="B550" s="10" t="s">
        <v>69</v>
      </c>
      <c r="C550" s="8">
        <v>1</v>
      </c>
      <c r="D550" s="11" t="s">
        <v>7</v>
      </c>
      <c r="E550" s="14" t="s">
        <v>37</v>
      </c>
      <c r="F550" s="14" t="s">
        <v>37</v>
      </c>
    </row>
    <row r="551" spans="1:18" ht="32" x14ac:dyDescent="0.2">
      <c r="A551" s="9" t="s">
        <v>12</v>
      </c>
      <c r="B551" s="10" t="s">
        <v>70</v>
      </c>
      <c r="C551" s="8">
        <v>1</v>
      </c>
      <c r="D551" s="11" t="s">
        <v>7</v>
      </c>
      <c r="E551" s="14" t="s">
        <v>37</v>
      </c>
      <c r="F551" s="14" t="s">
        <v>37</v>
      </c>
    </row>
    <row r="552" spans="1:18" ht="48" x14ac:dyDescent="0.2">
      <c r="A552" s="9" t="s">
        <v>13</v>
      </c>
      <c r="B552" s="10" t="s">
        <v>644</v>
      </c>
      <c r="C552" s="8">
        <v>1</v>
      </c>
      <c r="D552" s="11" t="s">
        <v>36</v>
      </c>
      <c r="E552" s="14" t="s">
        <v>67</v>
      </c>
      <c r="F552" s="14" t="s">
        <v>67</v>
      </c>
    </row>
    <row r="553" spans="1:18" ht="48" x14ac:dyDescent="0.2">
      <c r="A553" s="9" t="s">
        <v>14</v>
      </c>
      <c r="B553" s="10" t="s">
        <v>645</v>
      </c>
      <c r="C553" s="8">
        <v>1</v>
      </c>
      <c r="D553" s="11" t="s">
        <v>7</v>
      </c>
      <c r="E553" s="14" t="s">
        <v>67</v>
      </c>
      <c r="F553" s="14" t="s">
        <v>67</v>
      </c>
    </row>
    <row r="554" spans="1:18" ht="16" x14ac:dyDescent="0.2">
      <c r="A554" s="9" t="s">
        <v>15</v>
      </c>
      <c r="B554" s="10" t="s">
        <v>71</v>
      </c>
      <c r="C554" s="8">
        <v>1</v>
      </c>
      <c r="D554" s="11" t="s">
        <v>36</v>
      </c>
      <c r="E554" s="14" t="s">
        <v>67</v>
      </c>
      <c r="F554" s="14" t="s">
        <v>67</v>
      </c>
    </row>
    <row r="555" spans="1:18" ht="48" x14ac:dyDescent="0.2">
      <c r="A555" s="9" t="s">
        <v>16</v>
      </c>
      <c r="B555" s="10" t="s">
        <v>72</v>
      </c>
      <c r="C555" s="8">
        <v>1</v>
      </c>
      <c r="D555" s="11" t="s">
        <v>36</v>
      </c>
      <c r="E555" s="14" t="s">
        <v>67</v>
      </c>
      <c r="F555" s="14" t="s">
        <v>67</v>
      </c>
    </row>
    <row r="556" spans="1:18" ht="32" x14ac:dyDescent="0.2">
      <c r="A556" s="9" t="s">
        <v>17</v>
      </c>
      <c r="B556" s="10" t="s">
        <v>73</v>
      </c>
      <c r="C556" s="8">
        <v>1</v>
      </c>
      <c r="D556" s="11" t="s">
        <v>7</v>
      </c>
      <c r="E556" s="14" t="s">
        <v>67</v>
      </c>
      <c r="F556" s="14" t="s">
        <v>67</v>
      </c>
    </row>
    <row r="557" spans="1:18" ht="32" x14ac:dyDescent="0.2">
      <c r="A557" s="9" t="s">
        <v>18</v>
      </c>
      <c r="B557" s="10" t="s">
        <v>74</v>
      </c>
      <c r="C557" s="8">
        <v>1</v>
      </c>
      <c r="D557" s="11" t="s">
        <v>7</v>
      </c>
      <c r="E557" s="14" t="s">
        <v>67</v>
      </c>
      <c r="F557" s="14" t="s">
        <v>67</v>
      </c>
    </row>
    <row r="558" spans="1:18" ht="32" x14ac:dyDescent="0.2">
      <c r="A558" s="9" t="s">
        <v>19</v>
      </c>
      <c r="B558" s="10" t="s">
        <v>75</v>
      </c>
      <c r="C558" s="8">
        <v>54</v>
      </c>
      <c r="D558" s="11" t="s">
        <v>35</v>
      </c>
      <c r="E558" s="12">
        <v>4</v>
      </c>
      <c r="F558" s="12">
        <v>216</v>
      </c>
      <c r="G558" s="8">
        <v>5</v>
      </c>
      <c r="H558" s="8">
        <v>8</v>
      </c>
      <c r="I558" s="8">
        <v>11</v>
      </c>
    </row>
    <row r="559" spans="1:18" ht="32" x14ac:dyDescent="0.2">
      <c r="A559" s="9" t="s">
        <v>6</v>
      </c>
      <c r="B559" s="10" t="s">
        <v>646</v>
      </c>
      <c r="C559" s="8">
        <v>160</v>
      </c>
      <c r="D559" s="11" t="s">
        <v>34</v>
      </c>
      <c r="E559" s="12">
        <v>2.65</v>
      </c>
      <c r="F559" s="12">
        <v>424</v>
      </c>
      <c r="G559" s="8">
        <v>28</v>
      </c>
      <c r="H559" s="8">
        <v>46</v>
      </c>
      <c r="I559" s="8">
        <v>58</v>
      </c>
      <c r="J559" s="8">
        <f>C559*0.3*0.0006</f>
        <v>2.8799999999999999E-2</v>
      </c>
      <c r="K559" s="8">
        <v>8600</v>
      </c>
      <c r="M559" s="8">
        <v>42</v>
      </c>
      <c r="N559" s="8">
        <v>42</v>
      </c>
      <c r="O559" s="8">
        <v>42</v>
      </c>
      <c r="P559" s="8">
        <f>M559*K559*J559</f>
        <v>10402.56</v>
      </c>
      <c r="Q559" s="8">
        <f>N559*K559*J559</f>
        <v>10402.56</v>
      </c>
      <c r="R559" s="8">
        <f>O559*K559*J559</f>
        <v>10402.56</v>
      </c>
    </row>
    <row r="560" spans="1:18" ht="32" x14ac:dyDescent="0.2">
      <c r="A560" s="9" t="s">
        <v>9</v>
      </c>
      <c r="B560" s="10" t="s">
        <v>647</v>
      </c>
      <c r="C560" s="8">
        <v>1</v>
      </c>
      <c r="D560" s="11" t="s">
        <v>7</v>
      </c>
      <c r="E560" s="14" t="s">
        <v>37</v>
      </c>
      <c r="F560" s="14" t="s">
        <v>37</v>
      </c>
    </row>
    <row r="561" spans="1:9" ht="32" x14ac:dyDescent="0.2">
      <c r="A561" s="9" t="s">
        <v>10</v>
      </c>
      <c r="B561" s="10" t="s">
        <v>648</v>
      </c>
      <c r="C561" s="8">
        <v>1</v>
      </c>
      <c r="D561" s="11" t="s">
        <v>7</v>
      </c>
      <c r="E561" s="14" t="s">
        <v>37</v>
      </c>
      <c r="F561" s="14" t="s">
        <v>37</v>
      </c>
    </row>
    <row r="562" spans="1:9" ht="32" x14ac:dyDescent="0.2">
      <c r="A562" s="9" t="s">
        <v>11</v>
      </c>
      <c r="B562" s="10" t="s">
        <v>649</v>
      </c>
      <c r="C562" s="8">
        <v>1</v>
      </c>
      <c r="D562" s="11" t="s">
        <v>7</v>
      </c>
      <c r="E562" s="14" t="s">
        <v>37</v>
      </c>
      <c r="F562" s="14" t="s">
        <v>37</v>
      </c>
    </row>
    <row r="563" spans="1:9" ht="32" x14ac:dyDescent="0.2">
      <c r="A563" s="9" t="s">
        <v>12</v>
      </c>
      <c r="B563" s="10" t="s">
        <v>650</v>
      </c>
      <c r="C563" s="8">
        <v>1</v>
      </c>
      <c r="D563" s="11" t="s">
        <v>7</v>
      </c>
      <c r="E563" s="14" t="s">
        <v>37</v>
      </c>
      <c r="F563" s="14" t="s">
        <v>37</v>
      </c>
    </row>
    <row r="564" spans="1:9" ht="48" x14ac:dyDescent="0.2">
      <c r="A564" s="9" t="s">
        <v>13</v>
      </c>
      <c r="B564" s="10" t="s">
        <v>651</v>
      </c>
      <c r="C564" s="8">
        <v>1</v>
      </c>
      <c r="D564" s="11" t="s">
        <v>7</v>
      </c>
      <c r="E564" s="12">
        <v>10000</v>
      </c>
      <c r="F564" s="12">
        <v>10000</v>
      </c>
      <c r="G564" s="8">
        <v>20</v>
      </c>
      <c r="H564" s="8">
        <v>30</v>
      </c>
      <c r="I564" s="8">
        <v>43</v>
      </c>
    </row>
    <row r="565" spans="1:9" ht="48" x14ac:dyDescent="0.2">
      <c r="A565" s="9" t="s">
        <v>14</v>
      </c>
      <c r="B565" s="10" t="s">
        <v>652</v>
      </c>
      <c r="C565" s="8">
        <v>1</v>
      </c>
      <c r="D565" s="11" t="s">
        <v>7</v>
      </c>
      <c r="E565" s="14" t="s">
        <v>37</v>
      </c>
      <c r="F565" s="14" t="s">
        <v>37</v>
      </c>
    </row>
    <row r="566" spans="1:9" ht="64" x14ac:dyDescent="0.2">
      <c r="A566" s="9" t="s">
        <v>15</v>
      </c>
      <c r="B566" s="10" t="s">
        <v>653</v>
      </c>
      <c r="C566" s="8">
        <v>1</v>
      </c>
      <c r="D566" s="11" t="s">
        <v>7</v>
      </c>
      <c r="E566" s="14" t="s">
        <v>37</v>
      </c>
      <c r="F566" s="14" t="s">
        <v>37</v>
      </c>
    </row>
    <row r="567" spans="1:9" ht="48" x14ac:dyDescent="0.2">
      <c r="A567" s="9" t="s">
        <v>6</v>
      </c>
      <c r="B567" s="10" t="s">
        <v>654</v>
      </c>
      <c r="C567" s="8">
        <v>1</v>
      </c>
      <c r="D567" s="11" t="s">
        <v>7</v>
      </c>
      <c r="E567" s="14" t="s">
        <v>37</v>
      </c>
      <c r="F567" s="14" t="s">
        <v>37</v>
      </c>
    </row>
    <row r="568" spans="1:9" ht="48" x14ac:dyDescent="0.2">
      <c r="A568" s="9" t="s">
        <v>9</v>
      </c>
      <c r="B568" s="10" t="s">
        <v>655</v>
      </c>
      <c r="C568" s="8">
        <v>9</v>
      </c>
      <c r="D568" s="11" t="s">
        <v>36</v>
      </c>
      <c r="E568" s="14" t="s">
        <v>37</v>
      </c>
      <c r="F568" s="14" t="s">
        <v>37</v>
      </c>
    </row>
    <row r="569" spans="1:9" ht="64" x14ac:dyDescent="0.2">
      <c r="A569" s="9" t="s">
        <v>6</v>
      </c>
      <c r="B569" s="10" t="s">
        <v>656</v>
      </c>
      <c r="C569" s="8">
        <v>0</v>
      </c>
      <c r="D569" s="11" t="s">
        <v>33</v>
      </c>
      <c r="E569" s="12">
        <v>0</v>
      </c>
      <c r="F569" s="12">
        <v>0</v>
      </c>
    </row>
    <row r="570" spans="1:9" ht="48" x14ac:dyDescent="0.2">
      <c r="A570" s="9" t="s">
        <v>9</v>
      </c>
      <c r="B570" s="10" t="s">
        <v>658</v>
      </c>
      <c r="C570" s="8">
        <v>0</v>
      </c>
      <c r="D570" s="11" t="s">
        <v>34</v>
      </c>
      <c r="E570" s="12">
        <v>0</v>
      </c>
      <c r="F570" s="12">
        <v>0</v>
      </c>
    </row>
    <row r="571" spans="1:9" ht="48" x14ac:dyDescent="0.2">
      <c r="A571" s="9" t="s">
        <v>10</v>
      </c>
      <c r="B571" s="10" t="s">
        <v>659</v>
      </c>
      <c r="C571" s="8">
        <v>0</v>
      </c>
      <c r="D571" s="11" t="s">
        <v>33</v>
      </c>
      <c r="E571" s="12">
        <v>0</v>
      </c>
      <c r="F571" s="12">
        <v>0</v>
      </c>
    </row>
    <row r="572" spans="1:9" ht="48" x14ac:dyDescent="0.2">
      <c r="A572" s="9" t="s">
        <v>11</v>
      </c>
      <c r="B572" s="10" t="s">
        <v>657</v>
      </c>
      <c r="C572" s="8">
        <v>1</v>
      </c>
      <c r="D572" s="11" t="s">
        <v>7</v>
      </c>
      <c r="E572" s="12">
        <v>0</v>
      </c>
      <c r="F572" s="12">
        <v>0</v>
      </c>
    </row>
    <row r="573" spans="1:9" ht="48" x14ac:dyDescent="0.2">
      <c r="A573" s="9" t="s">
        <v>12</v>
      </c>
      <c r="B573" s="10" t="s">
        <v>660</v>
      </c>
      <c r="C573" s="8">
        <v>0</v>
      </c>
      <c r="D573" s="11" t="s">
        <v>33</v>
      </c>
      <c r="E573" s="12">
        <v>0</v>
      </c>
      <c r="F573" s="12">
        <v>0</v>
      </c>
    </row>
    <row r="574" spans="1:9" ht="48" x14ac:dyDescent="0.2">
      <c r="A574" s="9" t="s">
        <v>13</v>
      </c>
      <c r="B574" s="10" t="s">
        <v>661</v>
      </c>
      <c r="C574" s="8">
        <v>0</v>
      </c>
      <c r="D574" s="11" t="s">
        <v>33</v>
      </c>
      <c r="E574" s="12">
        <v>0</v>
      </c>
      <c r="F574" s="12">
        <v>0</v>
      </c>
    </row>
    <row r="575" spans="1:9" ht="64" x14ac:dyDescent="0.2">
      <c r="A575" s="9" t="s">
        <v>14</v>
      </c>
      <c r="B575" s="10" t="s">
        <v>662</v>
      </c>
      <c r="C575" s="8">
        <v>0</v>
      </c>
      <c r="D575" s="11" t="s">
        <v>33</v>
      </c>
      <c r="E575" s="12">
        <v>0</v>
      </c>
      <c r="F575" s="12">
        <v>0</v>
      </c>
    </row>
    <row r="576" spans="1:9" ht="64" x14ac:dyDescent="0.2">
      <c r="A576" s="9" t="s">
        <v>15</v>
      </c>
      <c r="B576" s="10" t="s">
        <v>663</v>
      </c>
      <c r="C576" s="8">
        <v>0</v>
      </c>
      <c r="D576" s="11" t="s">
        <v>33</v>
      </c>
      <c r="E576" s="12">
        <v>0</v>
      </c>
      <c r="F576" s="12">
        <v>0</v>
      </c>
    </row>
    <row r="577" spans="1:18" ht="64" x14ac:dyDescent="0.2">
      <c r="A577" s="9" t="s">
        <v>16</v>
      </c>
      <c r="B577" s="10" t="s">
        <v>664</v>
      </c>
      <c r="C577" s="8">
        <v>0</v>
      </c>
      <c r="D577" s="11" t="s">
        <v>33</v>
      </c>
      <c r="E577" s="12">
        <v>0</v>
      </c>
      <c r="F577" s="12">
        <v>0</v>
      </c>
    </row>
    <row r="578" spans="1:18" ht="48" x14ac:dyDescent="0.2">
      <c r="A578" s="9" t="s">
        <v>17</v>
      </c>
      <c r="B578" s="10" t="s">
        <v>665</v>
      </c>
      <c r="C578" s="8">
        <v>1</v>
      </c>
      <c r="D578" s="11" t="s">
        <v>7</v>
      </c>
      <c r="E578" s="12">
        <v>199.84</v>
      </c>
      <c r="F578" s="12">
        <v>199.84</v>
      </c>
      <c r="G578" s="8">
        <v>1</v>
      </c>
      <c r="H578" s="8">
        <v>1</v>
      </c>
      <c r="I578" s="8">
        <v>1</v>
      </c>
    </row>
    <row r="579" spans="1:18" ht="80" x14ac:dyDescent="0.2">
      <c r="A579" s="9" t="s">
        <v>18</v>
      </c>
      <c r="B579" s="10" t="s">
        <v>666</v>
      </c>
      <c r="C579" s="8">
        <v>0</v>
      </c>
      <c r="D579" s="11" t="s">
        <v>33</v>
      </c>
      <c r="E579" s="12">
        <v>0</v>
      </c>
      <c r="F579" s="12">
        <v>0</v>
      </c>
    </row>
    <row r="580" spans="1:18" ht="80" x14ac:dyDescent="0.2">
      <c r="A580" s="9" t="s">
        <v>19</v>
      </c>
      <c r="B580" s="10" t="s">
        <v>667</v>
      </c>
      <c r="C580" s="8">
        <v>0</v>
      </c>
      <c r="D580" s="11" t="s">
        <v>33</v>
      </c>
      <c r="E580" s="12">
        <v>0</v>
      </c>
      <c r="F580" s="12">
        <v>0</v>
      </c>
    </row>
    <row r="581" spans="1:18" ht="32" x14ac:dyDescent="0.2">
      <c r="A581" s="9" t="s">
        <v>6</v>
      </c>
      <c r="B581" s="10" t="s">
        <v>668</v>
      </c>
      <c r="C581" s="8">
        <v>119</v>
      </c>
      <c r="D581" s="11" t="s">
        <v>33</v>
      </c>
      <c r="E581" s="12">
        <v>12.96</v>
      </c>
      <c r="F581" s="12">
        <v>1542.24</v>
      </c>
      <c r="G581" s="8">
        <v>500</v>
      </c>
      <c r="H581" s="8">
        <v>750</v>
      </c>
      <c r="I581" s="8">
        <v>1000</v>
      </c>
      <c r="K581" s="13">
        <v>2050</v>
      </c>
      <c r="L581" s="13" t="s">
        <v>108</v>
      </c>
      <c r="M581" s="13">
        <v>0.15</v>
      </c>
      <c r="N581" s="13">
        <v>0.45</v>
      </c>
      <c r="O581" s="13">
        <v>0.73</v>
      </c>
      <c r="P581" s="8">
        <f t="shared" ref="P581:P589" si="178">M581*K581*C581</f>
        <v>36592.5</v>
      </c>
      <c r="Q581" s="8">
        <f t="shared" ref="Q581:Q589" si="179">N581*K581*C581</f>
        <v>109777.5</v>
      </c>
      <c r="R581" s="8">
        <f t="shared" ref="R581:R589" si="180">O581*K581*C581</f>
        <v>178083.5</v>
      </c>
    </row>
    <row r="582" spans="1:18" ht="32" x14ac:dyDescent="0.2">
      <c r="A582" s="9" t="s">
        <v>9</v>
      </c>
      <c r="B582" s="10" t="s">
        <v>669</v>
      </c>
      <c r="C582" s="8">
        <v>12</v>
      </c>
      <c r="D582" s="11" t="s">
        <v>33</v>
      </c>
      <c r="E582" s="12">
        <v>16.2</v>
      </c>
      <c r="F582" s="12">
        <v>194.4</v>
      </c>
      <c r="G582" s="8">
        <v>500</v>
      </c>
      <c r="H582" s="8">
        <v>750</v>
      </c>
      <c r="I582" s="8">
        <v>1000</v>
      </c>
      <c r="K582" s="13">
        <v>2050</v>
      </c>
      <c r="L582" s="13" t="s">
        <v>108</v>
      </c>
      <c r="M582" s="13">
        <v>0.15</v>
      </c>
      <c r="N582" s="13">
        <v>0.45</v>
      </c>
      <c r="O582" s="13">
        <v>0.73</v>
      </c>
      <c r="P582" s="8">
        <f t="shared" si="178"/>
        <v>3690</v>
      </c>
      <c r="Q582" s="8">
        <f t="shared" si="179"/>
        <v>11070</v>
      </c>
      <c r="R582" s="8">
        <f t="shared" si="180"/>
        <v>17958</v>
      </c>
    </row>
    <row r="583" spans="1:18" ht="16" x14ac:dyDescent="0.2">
      <c r="A583" s="9" t="s">
        <v>10</v>
      </c>
      <c r="B583" s="10" t="s">
        <v>670</v>
      </c>
      <c r="C583" s="8">
        <v>48</v>
      </c>
      <c r="D583" s="11" t="s">
        <v>35</v>
      </c>
      <c r="E583" s="12">
        <v>6.48</v>
      </c>
      <c r="F583" s="12">
        <v>311.04000000000002</v>
      </c>
      <c r="G583" s="8">
        <v>500</v>
      </c>
      <c r="H583" s="8">
        <v>750</v>
      </c>
      <c r="I583" s="8">
        <v>1000</v>
      </c>
      <c r="K583" s="13">
        <v>2240</v>
      </c>
      <c r="L583" s="13" t="s">
        <v>115</v>
      </c>
      <c r="M583" s="13">
        <v>0.05</v>
      </c>
      <c r="N583" s="13">
        <v>8.1000000000000003E-2</v>
      </c>
      <c r="O583" s="13">
        <v>0.15</v>
      </c>
      <c r="P583" s="8">
        <f t="shared" si="178"/>
        <v>5376</v>
      </c>
      <c r="Q583" s="8">
        <f t="shared" si="179"/>
        <v>8709.119999999999</v>
      </c>
      <c r="R583" s="8">
        <f t="shared" si="180"/>
        <v>16128</v>
      </c>
    </row>
    <row r="584" spans="1:18" ht="16" x14ac:dyDescent="0.2">
      <c r="A584" s="9" t="s">
        <v>11</v>
      </c>
      <c r="B584" s="10" t="s">
        <v>671</v>
      </c>
      <c r="C584" s="8">
        <v>226</v>
      </c>
      <c r="D584" s="11" t="s">
        <v>35</v>
      </c>
      <c r="E584" s="12">
        <v>3.24</v>
      </c>
      <c r="F584" s="12">
        <v>732.24</v>
      </c>
      <c r="G584" s="8">
        <v>500</v>
      </c>
      <c r="H584" s="8">
        <v>750</v>
      </c>
      <c r="I584" s="8">
        <v>1000</v>
      </c>
      <c r="K584" s="13">
        <v>2240</v>
      </c>
      <c r="L584" s="13" t="s">
        <v>115</v>
      </c>
      <c r="M584" s="13">
        <v>0.05</v>
      </c>
      <c r="N584" s="13">
        <v>8.1000000000000003E-2</v>
      </c>
      <c r="O584" s="13">
        <v>0.15</v>
      </c>
      <c r="P584" s="8">
        <f t="shared" si="178"/>
        <v>25312</v>
      </c>
      <c r="Q584" s="8">
        <f t="shared" si="179"/>
        <v>41005.440000000002</v>
      </c>
      <c r="R584" s="8">
        <f t="shared" si="180"/>
        <v>75936</v>
      </c>
    </row>
    <row r="585" spans="1:18" ht="48" x14ac:dyDescent="0.2">
      <c r="A585" s="9" t="s">
        <v>12</v>
      </c>
      <c r="B585" s="10" t="s">
        <v>672</v>
      </c>
      <c r="C585" s="8">
        <v>274</v>
      </c>
      <c r="D585" s="11" t="s">
        <v>35</v>
      </c>
      <c r="E585" s="12">
        <v>3.24</v>
      </c>
      <c r="F585" s="12">
        <v>887.76</v>
      </c>
      <c r="G585" s="8">
        <v>500</v>
      </c>
      <c r="H585" s="8">
        <v>750</v>
      </c>
      <c r="I585" s="8">
        <v>1000</v>
      </c>
      <c r="K585" s="13">
        <v>2240</v>
      </c>
      <c r="L585" s="13" t="s">
        <v>115</v>
      </c>
      <c r="M585" s="13">
        <v>0.05</v>
      </c>
      <c r="N585" s="13">
        <v>8.1000000000000003E-2</v>
      </c>
      <c r="O585" s="13">
        <v>0.15</v>
      </c>
      <c r="P585" s="8">
        <f t="shared" si="178"/>
        <v>30688</v>
      </c>
      <c r="Q585" s="8">
        <f t="shared" si="179"/>
        <v>49714.559999999998</v>
      </c>
      <c r="R585" s="8">
        <f t="shared" si="180"/>
        <v>92064</v>
      </c>
    </row>
    <row r="586" spans="1:18" ht="48" x14ac:dyDescent="0.2">
      <c r="A586" s="9" t="s">
        <v>13</v>
      </c>
      <c r="B586" s="10" t="s">
        <v>673</v>
      </c>
      <c r="C586" s="8">
        <v>131</v>
      </c>
      <c r="D586" s="11" t="s">
        <v>33</v>
      </c>
      <c r="E586" s="12">
        <v>35.65</v>
      </c>
      <c r="F586" s="12">
        <v>4670.1499999999996</v>
      </c>
      <c r="G586" s="8">
        <v>1</v>
      </c>
      <c r="H586" s="8">
        <v>1</v>
      </c>
      <c r="I586" s="8">
        <v>1</v>
      </c>
      <c r="K586" s="13">
        <v>2050</v>
      </c>
      <c r="L586" s="13" t="s">
        <v>108</v>
      </c>
      <c r="M586" s="13">
        <v>0.15</v>
      </c>
      <c r="N586" s="13">
        <v>0.45</v>
      </c>
      <c r="O586" s="13">
        <v>0.73</v>
      </c>
      <c r="P586" s="8">
        <f t="shared" si="178"/>
        <v>40282.5</v>
      </c>
      <c r="Q586" s="8">
        <f t="shared" si="179"/>
        <v>120847.5</v>
      </c>
      <c r="R586" s="8">
        <f t="shared" si="180"/>
        <v>196041.5</v>
      </c>
    </row>
    <row r="587" spans="1:18" ht="16" x14ac:dyDescent="0.2">
      <c r="A587" s="9" t="s">
        <v>14</v>
      </c>
      <c r="B587" s="10" t="s">
        <v>674</v>
      </c>
      <c r="C587" s="8">
        <v>12</v>
      </c>
      <c r="D587" s="11" t="s">
        <v>33</v>
      </c>
      <c r="E587" s="12">
        <v>36.729999999999997</v>
      </c>
      <c r="F587" s="12">
        <v>440.76</v>
      </c>
      <c r="G587" s="8">
        <v>100</v>
      </c>
      <c r="H587" s="8">
        <v>300</v>
      </c>
      <c r="I587" s="8">
        <v>500</v>
      </c>
      <c r="K587" s="13">
        <v>2050</v>
      </c>
      <c r="L587" s="13" t="s">
        <v>108</v>
      </c>
      <c r="M587" s="13">
        <v>0.15</v>
      </c>
      <c r="N587" s="13">
        <v>0.45</v>
      </c>
      <c r="O587" s="13">
        <v>0.73</v>
      </c>
      <c r="P587" s="8">
        <f t="shared" si="178"/>
        <v>3690</v>
      </c>
      <c r="Q587" s="8">
        <f t="shared" si="179"/>
        <v>11070</v>
      </c>
      <c r="R587" s="8">
        <f t="shared" si="180"/>
        <v>17958</v>
      </c>
    </row>
    <row r="588" spans="1:18" ht="32" x14ac:dyDescent="0.2">
      <c r="A588" s="9" t="s">
        <v>15</v>
      </c>
      <c r="B588" s="10" t="s">
        <v>675</v>
      </c>
      <c r="C588" s="8">
        <v>78</v>
      </c>
      <c r="D588" s="11" t="s">
        <v>33</v>
      </c>
      <c r="E588" s="12">
        <v>36.729999999999997</v>
      </c>
      <c r="F588" s="12">
        <v>2864.94</v>
      </c>
      <c r="G588" s="8">
        <v>100</v>
      </c>
      <c r="H588" s="8">
        <v>300</v>
      </c>
      <c r="I588" s="8">
        <v>500</v>
      </c>
      <c r="K588" s="13">
        <v>2050</v>
      </c>
      <c r="L588" s="13" t="s">
        <v>108</v>
      </c>
      <c r="M588" s="13">
        <v>0.15</v>
      </c>
      <c r="N588" s="13">
        <v>0.45</v>
      </c>
      <c r="O588" s="13">
        <v>0.73</v>
      </c>
      <c r="P588" s="8">
        <f t="shared" si="178"/>
        <v>23985</v>
      </c>
      <c r="Q588" s="8">
        <f t="shared" si="179"/>
        <v>71955</v>
      </c>
      <c r="R588" s="8">
        <f t="shared" si="180"/>
        <v>116727</v>
      </c>
    </row>
    <row r="589" spans="1:18" ht="16" x14ac:dyDescent="0.2">
      <c r="A589" s="9" t="s">
        <v>16</v>
      </c>
      <c r="B589" s="10" t="s">
        <v>676</v>
      </c>
      <c r="C589" s="8">
        <v>71</v>
      </c>
      <c r="D589" s="11" t="s">
        <v>33</v>
      </c>
      <c r="E589" s="12">
        <v>36.729999999999997</v>
      </c>
      <c r="F589" s="12">
        <v>2607.83</v>
      </c>
      <c r="G589" s="8">
        <v>100</v>
      </c>
      <c r="H589" s="8">
        <v>300</v>
      </c>
      <c r="I589" s="8">
        <v>500</v>
      </c>
      <c r="K589" s="13">
        <v>2050</v>
      </c>
      <c r="L589" s="13" t="s">
        <v>108</v>
      </c>
      <c r="M589" s="13">
        <v>0.15</v>
      </c>
      <c r="N589" s="13">
        <v>0.45</v>
      </c>
      <c r="O589" s="13">
        <v>0.73</v>
      </c>
      <c r="P589" s="8">
        <f t="shared" si="178"/>
        <v>21832.5</v>
      </c>
      <c r="Q589" s="8">
        <f t="shared" si="179"/>
        <v>65497.5</v>
      </c>
      <c r="R589" s="8">
        <f t="shared" si="180"/>
        <v>106251.5</v>
      </c>
    </row>
    <row r="590" spans="1:18" ht="16" x14ac:dyDescent="0.2">
      <c r="A590" s="9" t="s">
        <v>17</v>
      </c>
      <c r="B590" s="10" t="s">
        <v>677</v>
      </c>
      <c r="C590" s="8">
        <v>12</v>
      </c>
      <c r="D590" s="11" t="s">
        <v>35</v>
      </c>
      <c r="E590" s="12">
        <v>0.76</v>
      </c>
      <c r="F590" s="12">
        <v>9.1199999999999992</v>
      </c>
      <c r="G590" s="8">
        <v>500</v>
      </c>
      <c r="H590" s="8">
        <v>750</v>
      </c>
      <c r="I590" s="8">
        <v>1000</v>
      </c>
    </row>
    <row r="591" spans="1:18" ht="16" x14ac:dyDescent="0.2">
      <c r="A591" s="9" t="s">
        <v>18</v>
      </c>
      <c r="B591" s="10" t="s">
        <v>678</v>
      </c>
      <c r="C591" s="8">
        <v>148</v>
      </c>
      <c r="D591" s="11" t="s">
        <v>35</v>
      </c>
      <c r="E591" s="12">
        <v>0.76</v>
      </c>
      <c r="F591" s="12">
        <v>112.48</v>
      </c>
      <c r="G591" s="8">
        <v>500</v>
      </c>
      <c r="H591" s="8">
        <v>750</v>
      </c>
      <c r="I591" s="8">
        <v>1000</v>
      </c>
    </row>
    <row r="592" spans="1:18" ht="16" x14ac:dyDescent="0.2">
      <c r="A592" s="9" t="s">
        <v>19</v>
      </c>
      <c r="B592" s="10" t="s">
        <v>679</v>
      </c>
      <c r="C592" s="8">
        <v>7</v>
      </c>
      <c r="D592" s="11" t="s">
        <v>33</v>
      </c>
      <c r="E592" s="12">
        <v>149.07</v>
      </c>
      <c r="F592" s="12">
        <v>1043.49</v>
      </c>
      <c r="G592" s="8">
        <v>100</v>
      </c>
      <c r="H592" s="8">
        <v>150</v>
      </c>
      <c r="I592" s="8">
        <v>200</v>
      </c>
      <c r="K592" s="8">
        <v>1300</v>
      </c>
      <c r="M592" s="8">
        <f>0.75*0.7</f>
        <v>0.52499999999999991</v>
      </c>
      <c r="N592" s="8">
        <v>0.75</v>
      </c>
      <c r="O592" s="8">
        <f>0.75*1.3</f>
        <v>0.97500000000000009</v>
      </c>
      <c r="P592" s="8">
        <f>M592*K592*C592</f>
        <v>4777.4999999999991</v>
      </c>
      <c r="Q592" s="8">
        <f>N592*K592*C592</f>
        <v>6825</v>
      </c>
      <c r="R592" s="8">
        <f>O592*K592*C592</f>
        <v>8872.5000000000018</v>
      </c>
    </row>
    <row r="593" spans="1:18" ht="16" x14ac:dyDescent="0.2">
      <c r="A593" s="9" t="s">
        <v>6</v>
      </c>
      <c r="B593" s="10" t="s">
        <v>680</v>
      </c>
      <c r="C593" s="8">
        <v>61</v>
      </c>
      <c r="D593" s="11" t="s">
        <v>33</v>
      </c>
      <c r="E593" s="12">
        <v>182.56</v>
      </c>
      <c r="F593" s="12">
        <v>11136.16</v>
      </c>
      <c r="G593" s="8">
        <v>64</v>
      </c>
      <c r="H593" s="8">
        <v>108</v>
      </c>
      <c r="I593" s="8">
        <v>178</v>
      </c>
      <c r="K593" s="8">
        <v>2300</v>
      </c>
      <c r="M593" s="8">
        <f>0.75*0.7</f>
        <v>0.52499999999999991</v>
      </c>
      <c r="N593" s="8">
        <v>0.75</v>
      </c>
      <c r="O593" s="8">
        <f>0.75*1.3</f>
        <v>0.97500000000000009</v>
      </c>
      <c r="P593" s="8">
        <f>M593*K593*C593</f>
        <v>73657.499999999985</v>
      </c>
      <c r="Q593" s="8">
        <f>N593*K593*C593</f>
        <v>105225</v>
      </c>
      <c r="R593" s="8">
        <f>O593*K593*C593</f>
        <v>136792.5</v>
      </c>
    </row>
    <row r="594" spans="1:18" ht="32" x14ac:dyDescent="0.2">
      <c r="A594" s="9" t="s">
        <v>9</v>
      </c>
      <c r="B594" s="10" t="s">
        <v>681</v>
      </c>
      <c r="C594" s="8">
        <v>202</v>
      </c>
      <c r="D594" s="11" t="s">
        <v>34</v>
      </c>
      <c r="E594" s="12">
        <v>23.77</v>
      </c>
      <c r="F594" s="12">
        <v>4801.54</v>
      </c>
      <c r="G594" s="8">
        <v>47</v>
      </c>
      <c r="H594" s="8">
        <v>70</v>
      </c>
      <c r="I594" s="8">
        <v>110</v>
      </c>
      <c r="J594" s="8">
        <f>C594*0.25*0.05</f>
        <v>2.5250000000000004</v>
      </c>
      <c r="K594" s="8">
        <v>480</v>
      </c>
      <c r="L594" s="8" t="s">
        <v>131</v>
      </c>
      <c r="M594" s="8">
        <v>0.72</v>
      </c>
      <c r="N594" s="8">
        <v>7.11</v>
      </c>
      <c r="O594" s="8">
        <v>21.3</v>
      </c>
      <c r="P594" s="8">
        <f>M594*K594*J594</f>
        <v>872.64</v>
      </c>
      <c r="Q594" s="8">
        <f>N594*K594*J594</f>
        <v>8617.3200000000015</v>
      </c>
      <c r="R594" s="8">
        <f>O594*K594*J594</f>
        <v>25815.600000000002</v>
      </c>
    </row>
    <row r="595" spans="1:18" ht="32" x14ac:dyDescent="0.2">
      <c r="A595" s="9" t="s">
        <v>10</v>
      </c>
      <c r="B595" s="10" t="s">
        <v>682</v>
      </c>
      <c r="C595" s="8">
        <v>54</v>
      </c>
      <c r="D595" s="11" t="s">
        <v>34</v>
      </c>
      <c r="E595" s="12">
        <v>25.93</v>
      </c>
      <c r="F595" s="12">
        <v>1400.22</v>
      </c>
      <c r="G595" s="8">
        <v>47</v>
      </c>
      <c r="H595" s="8">
        <v>70</v>
      </c>
      <c r="I595" s="8">
        <v>110</v>
      </c>
      <c r="J595" s="8">
        <f>C595*0.75*0.1</f>
        <v>4.05</v>
      </c>
      <c r="K595" s="8">
        <v>480</v>
      </c>
      <c r="L595" s="8" t="s">
        <v>130</v>
      </c>
      <c r="M595" s="8">
        <v>0.72</v>
      </c>
      <c r="N595" s="8">
        <v>7.11</v>
      </c>
      <c r="O595" s="8">
        <v>21.3</v>
      </c>
      <c r="P595" s="8">
        <f t="shared" ref="P595" si="181">M595*K595*J595</f>
        <v>1399.6799999999998</v>
      </c>
      <c r="Q595" s="8">
        <f t="shared" ref="Q595" si="182">N595*K595*J595</f>
        <v>13821.84</v>
      </c>
      <c r="R595" s="8">
        <f t="shared" ref="R595" si="183">O595*K595*J595</f>
        <v>41407.199999999997</v>
      </c>
    </row>
    <row r="596" spans="1:18" ht="16" x14ac:dyDescent="0.2">
      <c r="A596" s="9" t="s">
        <v>11</v>
      </c>
      <c r="B596" s="10" t="s">
        <v>683</v>
      </c>
      <c r="C596" s="8">
        <v>136</v>
      </c>
      <c r="D596" s="11" t="s">
        <v>35</v>
      </c>
      <c r="E596" s="12">
        <v>14.04</v>
      </c>
      <c r="F596" s="12">
        <v>1909.44</v>
      </c>
      <c r="G596" s="8">
        <v>46</v>
      </c>
      <c r="H596" s="8">
        <v>70</v>
      </c>
      <c r="I596" s="8">
        <v>108</v>
      </c>
    </row>
    <row r="597" spans="1:18" ht="32" x14ac:dyDescent="0.2">
      <c r="A597" s="9" t="s">
        <v>12</v>
      </c>
      <c r="B597" s="10" t="s">
        <v>684</v>
      </c>
      <c r="C597" s="8">
        <v>20</v>
      </c>
      <c r="D597" s="11" t="s">
        <v>35</v>
      </c>
      <c r="E597" s="12">
        <v>45.58</v>
      </c>
      <c r="F597" s="12">
        <v>911.6</v>
      </c>
      <c r="G597" s="8">
        <v>52</v>
      </c>
      <c r="H597" s="8">
        <v>72</v>
      </c>
      <c r="I597" s="8">
        <v>101</v>
      </c>
      <c r="J597" s="8">
        <f>C597*0.215</f>
        <v>4.3</v>
      </c>
      <c r="K597" s="13">
        <v>2200</v>
      </c>
      <c r="L597" s="13" t="s">
        <v>134</v>
      </c>
      <c r="M597" s="13">
        <v>0.52500000000000002</v>
      </c>
      <c r="N597" s="13">
        <v>0.75</v>
      </c>
      <c r="O597" s="13">
        <v>0.97499999999999998</v>
      </c>
      <c r="P597" s="8">
        <f>M597*K597*J597</f>
        <v>4966.5</v>
      </c>
      <c r="Q597" s="8">
        <f t="shared" ref="Q597" si="184">N597*K597*J597</f>
        <v>7095</v>
      </c>
      <c r="R597" s="8">
        <f t="shared" ref="R597" si="185">O597*K597*J597</f>
        <v>9223.5</v>
      </c>
    </row>
    <row r="598" spans="1:18" ht="16" x14ac:dyDescent="0.2">
      <c r="A598" s="9" t="s">
        <v>13</v>
      </c>
      <c r="B598" s="10" t="s">
        <v>685</v>
      </c>
      <c r="C598" s="8">
        <v>173</v>
      </c>
      <c r="D598" s="11" t="s">
        <v>35</v>
      </c>
      <c r="E598" s="12">
        <v>385.04</v>
      </c>
      <c r="F598" s="12">
        <v>66611.92</v>
      </c>
      <c r="G598" s="8">
        <v>43</v>
      </c>
      <c r="H598" s="8">
        <v>60</v>
      </c>
      <c r="I598" s="8">
        <v>79</v>
      </c>
      <c r="J598" s="8">
        <f>C598*0.35</f>
        <v>60.55</v>
      </c>
      <c r="K598" s="13">
        <v>1900</v>
      </c>
      <c r="L598" s="13"/>
      <c r="M598" s="13">
        <v>0.7</v>
      </c>
      <c r="N598" s="13">
        <v>0.85</v>
      </c>
      <c r="O598" s="13">
        <v>1.01</v>
      </c>
      <c r="P598" s="8">
        <f>M598*K598*J598</f>
        <v>80531.5</v>
      </c>
      <c r="Q598" s="8">
        <f t="shared" ref="Q598" si="186">N598*K598*J598</f>
        <v>97788.25</v>
      </c>
      <c r="R598" s="8">
        <f t="shared" ref="R598" si="187">O598*K598*J598</f>
        <v>116195.45</v>
      </c>
    </row>
    <row r="599" spans="1:18" ht="16" x14ac:dyDescent="0.2">
      <c r="A599" s="9" t="s">
        <v>14</v>
      </c>
      <c r="B599" s="10" t="s">
        <v>686</v>
      </c>
      <c r="C599" s="8">
        <v>89</v>
      </c>
      <c r="D599" s="11" t="s">
        <v>34</v>
      </c>
      <c r="E599" s="12">
        <v>98.04</v>
      </c>
      <c r="F599" s="12">
        <v>8725.56</v>
      </c>
      <c r="G599" s="8">
        <v>43</v>
      </c>
      <c r="H599" s="8">
        <v>60</v>
      </c>
      <c r="I599" s="8">
        <v>79</v>
      </c>
      <c r="J599" s="8">
        <f>C599*0.175*0.04</f>
        <v>0.623</v>
      </c>
      <c r="K599" s="13">
        <v>1900</v>
      </c>
      <c r="L599" s="13"/>
      <c r="M599" s="13">
        <v>0.7</v>
      </c>
      <c r="N599" s="13">
        <v>0.85</v>
      </c>
      <c r="O599" s="13">
        <v>1.01</v>
      </c>
      <c r="P599" s="8">
        <f>M599*K599*J599</f>
        <v>828.59</v>
      </c>
      <c r="Q599" s="8">
        <f t="shared" ref="Q599" si="188">N599*K599*J599</f>
        <v>1006.145</v>
      </c>
      <c r="R599" s="8">
        <f t="shared" ref="R599" si="189">O599*K599*J599</f>
        <v>1195.537</v>
      </c>
    </row>
    <row r="600" spans="1:18" ht="16" x14ac:dyDescent="0.2">
      <c r="A600" s="9" t="s">
        <v>15</v>
      </c>
      <c r="B600" s="10" t="s">
        <v>687</v>
      </c>
      <c r="C600" s="8">
        <v>27</v>
      </c>
      <c r="D600" s="11" t="s">
        <v>34</v>
      </c>
      <c r="E600" s="12">
        <v>108.04</v>
      </c>
      <c r="F600" s="12">
        <v>2917.08</v>
      </c>
      <c r="G600" s="8">
        <v>43</v>
      </c>
      <c r="H600" s="8">
        <v>60</v>
      </c>
      <c r="I600" s="8">
        <v>79</v>
      </c>
      <c r="J600" s="8">
        <f>C600*0.175*0.04</f>
        <v>0.189</v>
      </c>
      <c r="K600" s="13">
        <v>1900</v>
      </c>
      <c r="L600" s="13"/>
      <c r="M600" s="13">
        <v>0.7</v>
      </c>
      <c r="N600" s="13">
        <v>0.85</v>
      </c>
      <c r="O600" s="13">
        <v>1.01</v>
      </c>
      <c r="P600" s="8">
        <f>M600*K600*J600</f>
        <v>251.37</v>
      </c>
      <c r="Q600" s="8">
        <f t="shared" ref="Q600" si="190">N600*K600*J600</f>
        <v>305.23500000000001</v>
      </c>
      <c r="R600" s="8">
        <f t="shared" ref="R600" si="191">O600*K600*J600</f>
        <v>362.69100000000003</v>
      </c>
    </row>
    <row r="601" spans="1:18" ht="48" x14ac:dyDescent="0.2">
      <c r="A601" s="9" t="s">
        <v>16</v>
      </c>
      <c r="B601" s="10" t="s">
        <v>688</v>
      </c>
      <c r="C601" s="8">
        <v>6</v>
      </c>
      <c r="D601" s="11" t="s">
        <v>34</v>
      </c>
      <c r="E601" s="12">
        <v>176.24</v>
      </c>
      <c r="F601" s="12">
        <v>1057.44</v>
      </c>
      <c r="G601" s="8">
        <v>15</v>
      </c>
      <c r="H601" s="8">
        <v>20</v>
      </c>
      <c r="I601" s="8">
        <v>25</v>
      </c>
    </row>
    <row r="602" spans="1:18" ht="16" x14ac:dyDescent="0.2">
      <c r="A602" s="9" t="s">
        <v>17</v>
      </c>
      <c r="B602" s="10" t="s">
        <v>689</v>
      </c>
      <c r="C602" s="8">
        <v>8</v>
      </c>
      <c r="D602" s="11" t="s">
        <v>36</v>
      </c>
      <c r="E602" s="12">
        <v>40.22</v>
      </c>
      <c r="F602" s="12">
        <v>321.76</v>
      </c>
      <c r="G602" s="8">
        <v>15</v>
      </c>
      <c r="H602" s="8">
        <v>20</v>
      </c>
      <c r="I602" s="8">
        <v>25</v>
      </c>
    </row>
    <row r="603" spans="1:18" ht="64" x14ac:dyDescent="0.2">
      <c r="A603" s="9" t="s">
        <v>6</v>
      </c>
      <c r="B603" s="10" t="s">
        <v>690</v>
      </c>
      <c r="C603" s="8">
        <v>63</v>
      </c>
      <c r="D603" s="11" t="s">
        <v>34</v>
      </c>
      <c r="E603" s="12">
        <v>33.49</v>
      </c>
      <c r="F603" s="12">
        <v>2109.87</v>
      </c>
      <c r="G603" s="8">
        <v>60</v>
      </c>
      <c r="H603" s="8">
        <v>80</v>
      </c>
      <c r="I603" s="8">
        <v>100</v>
      </c>
      <c r="J603" s="8">
        <f t="shared" ref="J603:J609" si="192">0.15*0.305*C603</f>
        <v>2.88225</v>
      </c>
      <c r="K603" s="8">
        <v>850</v>
      </c>
      <c r="M603" s="8">
        <v>1.2</v>
      </c>
      <c r="N603" s="8">
        <v>2.1800000000000002</v>
      </c>
      <c r="O603" s="8">
        <v>3.8</v>
      </c>
      <c r="P603" s="8">
        <f>M603*K603*J603</f>
        <v>2939.895</v>
      </c>
      <c r="Q603" s="8">
        <f t="shared" ref="Q603" si="193">N603*K603*J603</f>
        <v>5340.8092500000002</v>
      </c>
      <c r="R603" s="8">
        <f t="shared" ref="R603" si="194">O603*K603*J603</f>
        <v>9309.6674999999996</v>
      </c>
    </row>
    <row r="604" spans="1:18" ht="80" x14ac:dyDescent="0.2">
      <c r="A604" s="9" t="s">
        <v>9</v>
      </c>
      <c r="B604" s="10" t="s">
        <v>691</v>
      </c>
      <c r="C604" s="8">
        <v>5</v>
      </c>
      <c r="D604" s="11" t="s">
        <v>34</v>
      </c>
      <c r="E604" s="12">
        <v>37.81</v>
      </c>
      <c r="F604" s="12">
        <v>189.05</v>
      </c>
      <c r="G604" s="8">
        <v>60</v>
      </c>
      <c r="H604" s="8">
        <v>80</v>
      </c>
      <c r="I604" s="8">
        <v>100</v>
      </c>
      <c r="J604" s="8">
        <f t="shared" si="192"/>
        <v>0.22875000000000001</v>
      </c>
      <c r="K604" s="8">
        <v>850</v>
      </c>
      <c r="M604" s="8">
        <v>1.2</v>
      </c>
      <c r="N604" s="8">
        <v>2.1800000000000002</v>
      </c>
      <c r="O604" s="8">
        <v>3.8</v>
      </c>
      <c r="P604" s="8">
        <f t="shared" ref="P604:P610" si="195">M604*K604*J604</f>
        <v>233.32500000000002</v>
      </c>
      <c r="Q604" s="8">
        <f t="shared" ref="Q604:Q610" si="196">N604*K604*J604</f>
        <v>423.87375000000009</v>
      </c>
      <c r="R604" s="8">
        <f t="shared" ref="R604:R610" si="197">O604*K604*J604</f>
        <v>738.86250000000007</v>
      </c>
    </row>
    <row r="605" spans="1:18" ht="80" x14ac:dyDescent="0.2">
      <c r="A605" s="9" t="s">
        <v>10</v>
      </c>
      <c r="B605" s="10" t="s">
        <v>692</v>
      </c>
      <c r="C605" s="8">
        <v>139</v>
      </c>
      <c r="D605" s="11" t="s">
        <v>34</v>
      </c>
      <c r="E605" s="12">
        <v>38.89</v>
      </c>
      <c r="F605" s="12">
        <v>5405.71</v>
      </c>
      <c r="G605" s="8">
        <v>60</v>
      </c>
      <c r="H605" s="8">
        <v>80</v>
      </c>
      <c r="I605" s="8">
        <v>100</v>
      </c>
      <c r="J605" s="8">
        <f t="shared" si="192"/>
        <v>6.3592500000000003</v>
      </c>
      <c r="K605" s="8">
        <v>850</v>
      </c>
      <c r="M605" s="8">
        <v>1.2</v>
      </c>
      <c r="N605" s="8">
        <v>2.1800000000000002</v>
      </c>
      <c r="O605" s="8">
        <v>3.8</v>
      </c>
      <c r="P605" s="8">
        <f t="shared" si="195"/>
        <v>6486.4350000000004</v>
      </c>
      <c r="Q605" s="8">
        <f t="shared" si="196"/>
        <v>11783.690250000001</v>
      </c>
      <c r="R605" s="8">
        <f t="shared" si="197"/>
        <v>20540.377500000002</v>
      </c>
    </row>
    <row r="606" spans="1:18" ht="80" x14ac:dyDescent="0.2">
      <c r="A606" s="9" t="s">
        <v>11</v>
      </c>
      <c r="B606" s="10" t="s">
        <v>693</v>
      </c>
      <c r="C606" s="8">
        <v>9</v>
      </c>
      <c r="D606" s="11" t="s">
        <v>34</v>
      </c>
      <c r="E606" s="12">
        <v>48.61</v>
      </c>
      <c r="F606" s="12">
        <v>437.49</v>
      </c>
      <c r="G606" s="8">
        <v>60</v>
      </c>
      <c r="H606" s="8">
        <v>80</v>
      </c>
      <c r="I606" s="8">
        <v>100</v>
      </c>
      <c r="J606" s="8">
        <f t="shared" si="192"/>
        <v>0.41175</v>
      </c>
      <c r="K606" s="8">
        <v>850</v>
      </c>
      <c r="M606" s="8">
        <v>1.2</v>
      </c>
      <c r="N606" s="8">
        <v>2.1800000000000002</v>
      </c>
      <c r="O606" s="8">
        <v>3.8</v>
      </c>
      <c r="P606" s="8">
        <f t="shared" si="195"/>
        <v>419.98500000000001</v>
      </c>
      <c r="Q606" s="8">
        <f t="shared" si="196"/>
        <v>762.97275000000013</v>
      </c>
      <c r="R606" s="8">
        <f t="shared" si="197"/>
        <v>1329.9525000000001</v>
      </c>
    </row>
    <row r="607" spans="1:18" ht="80" x14ac:dyDescent="0.2">
      <c r="A607" s="9" t="s">
        <v>12</v>
      </c>
      <c r="B607" s="10" t="s">
        <v>694</v>
      </c>
      <c r="C607" s="8">
        <v>33</v>
      </c>
      <c r="D607" s="11" t="s">
        <v>34</v>
      </c>
      <c r="E607" s="12">
        <v>51.85</v>
      </c>
      <c r="F607" s="12">
        <v>1711.05</v>
      </c>
      <c r="G607" s="8">
        <v>60</v>
      </c>
      <c r="H607" s="8">
        <v>80</v>
      </c>
      <c r="I607" s="8">
        <v>100</v>
      </c>
      <c r="J607" s="8">
        <f t="shared" si="192"/>
        <v>1.5097499999999999</v>
      </c>
      <c r="K607" s="8">
        <v>850</v>
      </c>
      <c r="M607" s="8">
        <v>1.2</v>
      </c>
      <c r="N607" s="8">
        <v>2.1800000000000002</v>
      </c>
      <c r="O607" s="8">
        <v>3.8</v>
      </c>
      <c r="P607" s="8">
        <f t="shared" si="195"/>
        <v>1539.9449999999999</v>
      </c>
      <c r="Q607" s="8">
        <f t="shared" si="196"/>
        <v>2797.5667500000004</v>
      </c>
      <c r="R607" s="8">
        <f t="shared" si="197"/>
        <v>4876.4924999999994</v>
      </c>
    </row>
    <row r="608" spans="1:18" ht="64" x14ac:dyDescent="0.2">
      <c r="A608" s="9" t="s">
        <v>13</v>
      </c>
      <c r="B608" s="10" t="s">
        <v>695</v>
      </c>
      <c r="C608" s="8">
        <v>201</v>
      </c>
      <c r="D608" s="11" t="s">
        <v>34</v>
      </c>
      <c r="E608" s="12">
        <v>20.52</v>
      </c>
      <c r="F608" s="12">
        <v>4124.5200000000004</v>
      </c>
      <c r="G608" s="8">
        <v>60</v>
      </c>
      <c r="H608" s="8">
        <v>80</v>
      </c>
      <c r="I608" s="8">
        <v>100</v>
      </c>
      <c r="J608" s="8">
        <f t="shared" si="192"/>
        <v>9.1957500000000003</v>
      </c>
      <c r="K608" s="8">
        <v>850</v>
      </c>
      <c r="M608" s="8">
        <v>1.2</v>
      </c>
      <c r="N608" s="8">
        <v>2.1800000000000002</v>
      </c>
      <c r="O608" s="8">
        <v>3.8</v>
      </c>
      <c r="P608" s="8">
        <f t="shared" si="195"/>
        <v>9379.6650000000009</v>
      </c>
      <c r="Q608" s="8">
        <f t="shared" si="196"/>
        <v>17039.724750000001</v>
      </c>
      <c r="R608" s="8">
        <f t="shared" si="197"/>
        <v>29702.272500000003</v>
      </c>
    </row>
    <row r="609" spans="1:18" ht="64" x14ac:dyDescent="0.2">
      <c r="A609" s="9" t="s">
        <v>14</v>
      </c>
      <c r="B609" s="10" t="s">
        <v>696</v>
      </c>
      <c r="C609" s="8">
        <v>7</v>
      </c>
      <c r="D609" s="11" t="s">
        <v>34</v>
      </c>
      <c r="E609" s="12">
        <v>22.69</v>
      </c>
      <c r="F609" s="12">
        <v>158.83000000000001</v>
      </c>
      <c r="G609" s="8">
        <v>60</v>
      </c>
      <c r="H609" s="8">
        <v>80</v>
      </c>
      <c r="I609" s="8">
        <v>100</v>
      </c>
      <c r="J609" s="8">
        <f t="shared" si="192"/>
        <v>0.32024999999999998</v>
      </c>
      <c r="K609" s="8">
        <v>850</v>
      </c>
      <c r="M609" s="8">
        <v>1.2</v>
      </c>
      <c r="N609" s="8">
        <v>2.1800000000000002</v>
      </c>
      <c r="O609" s="8">
        <v>3.8</v>
      </c>
      <c r="P609" s="8">
        <f t="shared" si="195"/>
        <v>326.65499999999997</v>
      </c>
      <c r="Q609" s="8">
        <f t="shared" si="196"/>
        <v>593.42325000000005</v>
      </c>
      <c r="R609" s="8">
        <f t="shared" si="197"/>
        <v>1034.4075</v>
      </c>
    </row>
    <row r="610" spans="1:18" ht="64" x14ac:dyDescent="0.2">
      <c r="A610" s="9" t="s">
        <v>15</v>
      </c>
      <c r="B610" s="10" t="s">
        <v>697</v>
      </c>
      <c r="C610" s="8">
        <v>2</v>
      </c>
      <c r="D610" s="11" t="s">
        <v>36</v>
      </c>
      <c r="E610" s="12">
        <v>32.409999999999997</v>
      </c>
      <c r="F610" s="12">
        <v>64.819999999999993</v>
      </c>
      <c r="G610" s="8">
        <v>60</v>
      </c>
      <c r="H610" s="8">
        <v>80</v>
      </c>
      <c r="I610" s="8">
        <v>100</v>
      </c>
      <c r="J610" s="8">
        <f>0.15*0.305*0.95*2</f>
        <v>8.6924999999999988E-2</v>
      </c>
      <c r="K610" s="8">
        <v>850</v>
      </c>
      <c r="M610" s="8">
        <v>1.2</v>
      </c>
      <c r="N610" s="8">
        <v>2.1800000000000002</v>
      </c>
      <c r="O610" s="8">
        <v>3.8</v>
      </c>
      <c r="P610" s="8">
        <f t="shared" si="195"/>
        <v>88.663499999999985</v>
      </c>
      <c r="Q610" s="8">
        <f t="shared" si="196"/>
        <v>161.072025</v>
      </c>
      <c r="R610" s="8">
        <f t="shared" si="197"/>
        <v>280.76774999999998</v>
      </c>
    </row>
    <row r="611" spans="1:18" ht="32" x14ac:dyDescent="0.2">
      <c r="A611" s="9" t="s">
        <v>16</v>
      </c>
      <c r="B611" s="10" t="s">
        <v>698</v>
      </c>
      <c r="C611" s="8">
        <v>52</v>
      </c>
      <c r="D611" s="11" t="s">
        <v>33</v>
      </c>
      <c r="E611" s="12">
        <v>42.13</v>
      </c>
      <c r="F611" s="12">
        <v>2190.7600000000002</v>
      </c>
      <c r="G611" s="8">
        <v>100</v>
      </c>
      <c r="H611" s="8">
        <v>300</v>
      </c>
      <c r="I611" s="8">
        <v>500</v>
      </c>
      <c r="K611" s="8">
        <v>2240</v>
      </c>
      <c r="L611" s="8" t="s">
        <v>115</v>
      </c>
      <c r="M611" s="8">
        <v>0.05</v>
      </c>
      <c r="N611" s="8">
        <v>8.1000000000000003E-2</v>
      </c>
      <c r="O611" s="8">
        <v>0.15</v>
      </c>
      <c r="P611" s="8">
        <f>M611*K611*C611</f>
        <v>5824</v>
      </c>
      <c r="Q611" s="8">
        <f>N611*K611*C611</f>
        <v>9434.8799999999992</v>
      </c>
      <c r="R611" s="8">
        <f>O611*K611*C611</f>
        <v>17472</v>
      </c>
    </row>
    <row r="612" spans="1:18" ht="32" x14ac:dyDescent="0.2">
      <c r="A612" s="9" t="s">
        <v>17</v>
      </c>
      <c r="B612" s="10" t="s">
        <v>699</v>
      </c>
      <c r="C612" s="8">
        <v>290</v>
      </c>
      <c r="D612" s="11" t="s">
        <v>33</v>
      </c>
      <c r="E612" s="12">
        <v>42.13</v>
      </c>
      <c r="F612" s="12">
        <v>12217.7</v>
      </c>
      <c r="G612" s="8">
        <v>100</v>
      </c>
      <c r="H612" s="8">
        <v>300</v>
      </c>
      <c r="I612" s="8">
        <v>500</v>
      </c>
      <c r="K612" s="8">
        <v>2240</v>
      </c>
      <c r="L612" s="8" t="s">
        <v>115</v>
      </c>
      <c r="M612" s="8">
        <v>0.05</v>
      </c>
      <c r="N612" s="8">
        <v>8.1000000000000003E-2</v>
      </c>
      <c r="O612" s="8">
        <v>0.15</v>
      </c>
      <c r="P612" s="8">
        <f>M612*K612*C612</f>
        <v>32480</v>
      </c>
      <c r="Q612" s="8">
        <f>N612*K612*C612</f>
        <v>52617.599999999999</v>
      </c>
      <c r="R612" s="8">
        <f>O612*K612*C612</f>
        <v>97440</v>
      </c>
    </row>
    <row r="613" spans="1:18" ht="32" x14ac:dyDescent="0.2">
      <c r="A613" s="9" t="s">
        <v>18</v>
      </c>
      <c r="B613" s="10" t="s">
        <v>698</v>
      </c>
      <c r="C613" s="8">
        <v>207</v>
      </c>
      <c r="D613" s="11" t="s">
        <v>33</v>
      </c>
      <c r="E613" s="12">
        <v>36.729999999999997</v>
      </c>
      <c r="F613" s="12">
        <v>7603.11</v>
      </c>
      <c r="G613" s="8">
        <v>100</v>
      </c>
      <c r="H613" s="8">
        <v>300</v>
      </c>
      <c r="I613" s="8">
        <v>500</v>
      </c>
      <c r="K613" s="8">
        <v>2240</v>
      </c>
      <c r="L613" s="8" t="s">
        <v>115</v>
      </c>
      <c r="M613" s="8">
        <v>0.05</v>
      </c>
      <c r="N613" s="8">
        <v>8.1000000000000003E-2</v>
      </c>
      <c r="O613" s="8">
        <v>0.15</v>
      </c>
      <c r="P613" s="8">
        <f>M613*K613*C613</f>
        <v>23184</v>
      </c>
      <c r="Q613" s="8">
        <f>N613*K613*C613</f>
        <v>37558.080000000002</v>
      </c>
      <c r="R613" s="8">
        <f>O613*K613*C613</f>
        <v>69552</v>
      </c>
    </row>
    <row r="614" spans="1:18" ht="16" x14ac:dyDescent="0.2">
      <c r="A614" s="9" t="s">
        <v>19</v>
      </c>
      <c r="B614" s="10" t="s">
        <v>700</v>
      </c>
      <c r="C614" s="8">
        <v>2002</v>
      </c>
      <c r="D614" s="11" t="s">
        <v>35</v>
      </c>
      <c r="E614" s="12">
        <v>0.76</v>
      </c>
      <c r="F614" s="12">
        <v>1521.52</v>
      </c>
      <c r="G614" s="8">
        <v>100</v>
      </c>
      <c r="H614" s="8">
        <v>300</v>
      </c>
      <c r="I614" s="8">
        <v>500</v>
      </c>
    </row>
    <row r="615" spans="1:18" ht="32" x14ac:dyDescent="0.2">
      <c r="A615" s="9" t="s">
        <v>20</v>
      </c>
      <c r="B615" s="10" t="s">
        <v>701</v>
      </c>
      <c r="C615" s="8">
        <v>6</v>
      </c>
      <c r="D615" s="11" t="s">
        <v>33</v>
      </c>
      <c r="E615" s="12">
        <v>178.24</v>
      </c>
      <c r="F615" s="12">
        <v>1069.44</v>
      </c>
      <c r="G615" s="8">
        <v>20</v>
      </c>
      <c r="H615" s="8">
        <v>35</v>
      </c>
      <c r="I615" s="8">
        <v>45</v>
      </c>
      <c r="K615" s="8">
        <v>2300</v>
      </c>
      <c r="M615" s="8">
        <f>0.75*0.7</f>
        <v>0.52499999999999991</v>
      </c>
      <c r="N615" s="8">
        <v>0.75</v>
      </c>
      <c r="O615" s="8">
        <f>0.75*1.3</f>
        <v>0.97500000000000009</v>
      </c>
      <c r="P615" s="8">
        <f>M615*K615*C615</f>
        <v>7244.9999999999982</v>
      </c>
      <c r="Q615" s="8">
        <f>N615*K615*C615</f>
        <v>10350</v>
      </c>
      <c r="R615" s="8">
        <f>O615*K615*C615</f>
        <v>13455</v>
      </c>
    </row>
    <row r="616" spans="1:18" ht="32" x14ac:dyDescent="0.2">
      <c r="A616" s="9" t="s">
        <v>21</v>
      </c>
      <c r="B616" s="10" t="s">
        <v>702</v>
      </c>
      <c r="C616" s="8">
        <v>53</v>
      </c>
      <c r="D616" s="11" t="s">
        <v>34</v>
      </c>
      <c r="E616" s="12">
        <v>23.77</v>
      </c>
      <c r="F616" s="12">
        <v>1259.81</v>
      </c>
      <c r="G616" s="8">
        <v>47</v>
      </c>
      <c r="H616" s="8">
        <v>70</v>
      </c>
      <c r="I616" s="8">
        <v>110</v>
      </c>
      <c r="J616" s="8">
        <f>C616*0.25*0.05</f>
        <v>0.66250000000000009</v>
      </c>
      <c r="K616" s="8">
        <v>2300</v>
      </c>
      <c r="M616" s="8">
        <f>0.75*0.7</f>
        <v>0.52499999999999991</v>
      </c>
      <c r="N616" s="8">
        <v>0.75</v>
      </c>
      <c r="O616" s="8">
        <f>0.75*1.3</f>
        <v>0.97500000000000009</v>
      </c>
      <c r="P616" s="8">
        <f t="shared" ref="P616" si="198">M616*K616*J616</f>
        <v>799.96875</v>
      </c>
      <c r="Q616" s="8">
        <f t="shared" ref="Q616" si="199">N616*K616*J616</f>
        <v>1142.8125000000002</v>
      </c>
      <c r="R616" s="8">
        <f t="shared" ref="R616" si="200">O616*K616*J616</f>
        <v>1485.6562500000002</v>
      </c>
    </row>
    <row r="617" spans="1:18" ht="16" x14ac:dyDescent="0.2">
      <c r="A617" s="9" t="s">
        <v>22</v>
      </c>
      <c r="B617" s="10" t="s">
        <v>703</v>
      </c>
      <c r="C617" s="8">
        <v>37</v>
      </c>
      <c r="D617" s="11" t="s">
        <v>35</v>
      </c>
      <c r="E617" s="12">
        <v>14.04</v>
      </c>
      <c r="F617" s="12">
        <v>519.48</v>
      </c>
    </row>
    <row r="618" spans="1:18" ht="48" x14ac:dyDescent="0.2">
      <c r="A618" s="9" t="s">
        <v>6</v>
      </c>
      <c r="B618" s="10" t="s">
        <v>704</v>
      </c>
      <c r="C618" s="8">
        <v>53</v>
      </c>
      <c r="D618" s="11" t="s">
        <v>34</v>
      </c>
      <c r="E618" s="12">
        <v>12.96</v>
      </c>
      <c r="F618" s="12">
        <v>686.88</v>
      </c>
      <c r="G618" s="8">
        <v>50</v>
      </c>
      <c r="H618" s="8">
        <v>75</v>
      </c>
      <c r="I618" s="8">
        <v>100</v>
      </c>
      <c r="J618" s="8">
        <f>C618*0.15</f>
        <v>7.9499999999999993</v>
      </c>
      <c r="K618" s="8">
        <v>180</v>
      </c>
      <c r="M618" s="8">
        <f>23*0.6</f>
        <v>13.799999999999999</v>
      </c>
      <c r="N618" s="8">
        <v>23</v>
      </c>
      <c r="O618" s="8">
        <f>23*1.4</f>
        <v>32.199999999999996</v>
      </c>
      <c r="P618" s="8">
        <f t="shared" ref="P618" si="201">M618*K618*J618</f>
        <v>19747.8</v>
      </c>
      <c r="Q618" s="8">
        <f t="shared" ref="Q618" si="202">N618*K618*J618</f>
        <v>32913</v>
      </c>
      <c r="R618" s="8">
        <f t="shared" ref="R618" si="203">O618*K618*J618</f>
        <v>46078.19999999999</v>
      </c>
    </row>
    <row r="619" spans="1:18" ht="16" x14ac:dyDescent="0.2">
      <c r="A619" s="9" t="s">
        <v>9</v>
      </c>
      <c r="B619" s="10" t="s">
        <v>705</v>
      </c>
      <c r="C619" s="8">
        <v>37</v>
      </c>
      <c r="D619" s="11" t="s">
        <v>35</v>
      </c>
      <c r="E619" s="12">
        <v>6.48</v>
      </c>
      <c r="F619" s="12">
        <v>239.76</v>
      </c>
    </row>
    <row r="620" spans="1:18" ht="48" x14ac:dyDescent="0.2">
      <c r="A620" s="9" t="s">
        <v>10</v>
      </c>
      <c r="B620" s="10" t="s">
        <v>706</v>
      </c>
      <c r="C620" s="8">
        <v>37</v>
      </c>
      <c r="D620" s="11" t="s">
        <v>35</v>
      </c>
      <c r="E620" s="12">
        <v>4.32</v>
      </c>
      <c r="F620" s="12">
        <v>159.84</v>
      </c>
    </row>
    <row r="621" spans="1:18" ht="32" x14ac:dyDescent="0.2">
      <c r="A621" s="9" t="s">
        <v>11</v>
      </c>
      <c r="B621" s="10" t="s">
        <v>707</v>
      </c>
      <c r="C621" s="8">
        <v>828</v>
      </c>
      <c r="D621" s="11" t="s">
        <v>35</v>
      </c>
      <c r="E621" s="12">
        <v>15.77</v>
      </c>
      <c r="F621" s="12">
        <v>13057.56</v>
      </c>
      <c r="G621" s="8">
        <v>14</v>
      </c>
      <c r="H621" s="8">
        <v>23</v>
      </c>
      <c r="I621" s="8">
        <v>32</v>
      </c>
      <c r="J621" s="8">
        <f>C621*0.06</f>
        <v>49.68</v>
      </c>
      <c r="K621" s="8">
        <v>1700</v>
      </c>
      <c r="M621" s="8">
        <f>3.93*0.7</f>
        <v>2.7509999999999999</v>
      </c>
      <c r="N621" s="8">
        <v>3.93</v>
      </c>
      <c r="O621" s="8">
        <f>3.93*1.3</f>
        <v>5.109</v>
      </c>
      <c r="P621" s="8">
        <f t="shared" ref="P621" si="204">M621*K621*J621</f>
        <v>232338.45599999998</v>
      </c>
      <c r="Q621" s="8">
        <f t="shared" ref="Q621" si="205">N621*K621*J621</f>
        <v>331912.08</v>
      </c>
      <c r="R621" s="8">
        <f t="shared" ref="R621" si="206">O621*K621*J621</f>
        <v>431485.70399999997</v>
      </c>
    </row>
    <row r="622" spans="1:18" ht="16" x14ac:dyDescent="0.2">
      <c r="A622" s="9" t="s">
        <v>12</v>
      </c>
      <c r="B622" s="10" t="s">
        <v>708</v>
      </c>
      <c r="C622" s="8">
        <v>13</v>
      </c>
      <c r="D622" s="11" t="s">
        <v>35</v>
      </c>
      <c r="E622" s="12">
        <v>16.2</v>
      </c>
      <c r="F622" s="12">
        <v>210.6</v>
      </c>
      <c r="G622" s="8">
        <v>14</v>
      </c>
      <c r="H622" s="8">
        <v>23</v>
      </c>
      <c r="I622" s="8">
        <v>32</v>
      </c>
      <c r="J622" s="8">
        <f>C622*0.075</f>
        <v>0.97499999999999998</v>
      </c>
      <c r="K622" s="8">
        <v>2150</v>
      </c>
      <c r="M622" s="8">
        <v>1</v>
      </c>
      <c r="N622" s="8">
        <v>1</v>
      </c>
      <c r="O622" s="8">
        <v>1</v>
      </c>
      <c r="P622" s="8">
        <f t="shared" ref="P622" si="207">M622*K622*J622</f>
        <v>2096.25</v>
      </c>
      <c r="Q622" s="8">
        <f t="shared" ref="Q622" si="208">N622*K622*J622</f>
        <v>2096.25</v>
      </c>
      <c r="R622" s="8">
        <f t="shared" ref="R622" si="209">O622*K622*J622</f>
        <v>2096.25</v>
      </c>
    </row>
    <row r="623" spans="1:18" ht="48" x14ac:dyDescent="0.2">
      <c r="A623" s="9" t="s">
        <v>13</v>
      </c>
      <c r="B623" s="10" t="s">
        <v>709</v>
      </c>
      <c r="C623" s="8">
        <v>801</v>
      </c>
      <c r="D623" s="11" t="s">
        <v>35</v>
      </c>
      <c r="E623" s="12">
        <v>59.41</v>
      </c>
      <c r="F623" s="12">
        <v>47587.41</v>
      </c>
      <c r="G623" s="8">
        <v>22</v>
      </c>
      <c r="H623" s="8">
        <v>34</v>
      </c>
      <c r="I623" s="8">
        <v>46</v>
      </c>
      <c r="J623" s="8">
        <f>C623*0.08</f>
        <v>64.08</v>
      </c>
      <c r="K623" s="8">
        <v>1920</v>
      </c>
      <c r="M623" s="8">
        <v>0.63</v>
      </c>
      <c r="N623" s="8">
        <v>3</v>
      </c>
      <c r="O623" s="8">
        <v>6</v>
      </c>
      <c r="P623" s="8">
        <f t="shared" ref="P623" si="210">M623*K623*J623</f>
        <v>77511.167999999991</v>
      </c>
      <c r="Q623" s="8">
        <f t="shared" ref="Q623" si="211">N623*K623*J623</f>
        <v>369100.79999999999</v>
      </c>
      <c r="R623" s="8">
        <f t="shared" ref="R623" si="212">O623*K623*J623</f>
        <v>738201.59999999998</v>
      </c>
    </row>
    <row r="624" spans="1:18" ht="32" x14ac:dyDescent="0.2">
      <c r="A624" s="9" t="s">
        <v>14</v>
      </c>
      <c r="B624" s="10" t="s">
        <v>710</v>
      </c>
      <c r="C624" s="8">
        <v>113</v>
      </c>
      <c r="D624" s="11" t="s">
        <v>34</v>
      </c>
      <c r="E624" s="12">
        <v>16.2</v>
      </c>
      <c r="F624" s="12">
        <v>1830.6</v>
      </c>
      <c r="G624" s="8">
        <v>22</v>
      </c>
      <c r="H624" s="8">
        <v>34</v>
      </c>
      <c r="I624" s="8">
        <v>46</v>
      </c>
    </row>
    <row r="625" spans="1:18" ht="48" x14ac:dyDescent="0.2">
      <c r="A625" s="9" t="s">
        <v>15</v>
      </c>
      <c r="B625" s="10" t="s">
        <v>709</v>
      </c>
      <c r="C625" s="8">
        <v>85</v>
      </c>
      <c r="D625" s="11" t="s">
        <v>35</v>
      </c>
      <c r="E625" s="12">
        <v>59.41</v>
      </c>
      <c r="F625" s="12">
        <v>5049.8500000000004</v>
      </c>
      <c r="G625" s="8">
        <v>22</v>
      </c>
      <c r="H625" s="8">
        <v>34</v>
      </c>
      <c r="I625" s="8">
        <v>46</v>
      </c>
      <c r="J625" s="8">
        <f>C625*0.08</f>
        <v>6.8</v>
      </c>
      <c r="K625" s="8">
        <v>1920</v>
      </c>
      <c r="M625" s="8">
        <v>0.63</v>
      </c>
      <c r="N625" s="8">
        <v>3</v>
      </c>
      <c r="O625" s="8">
        <v>6</v>
      </c>
      <c r="P625" s="8">
        <f t="shared" ref="P625" si="213">M625*K625*J625</f>
        <v>8225.2799999999988</v>
      </c>
      <c r="Q625" s="8">
        <f t="shared" ref="Q625" si="214">N625*K625*J625</f>
        <v>39168</v>
      </c>
      <c r="R625" s="8">
        <f t="shared" ref="R625" si="215">O625*K625*J625</f>
        <v>78336</v>
      </c>
    </row>
    <row r="626" spans="1:18" ht="64" x14ac:dyDescent="0.2">
      <c r="A626" s="9" t="s">
        <v>6</v>
      </c>
      <c r="B626" s="10" t="s">
        <v>711</v>
      </c>
      <c r="C626" s="8">
        <v>5</v>
      </c>
      <c r="D626" s="11" t="s">
        <v>35</v>
      </c>
      <c r="E626" s="12">
        <v>64.81</v>
      </c>
      <c r="F626" s="12">
        <v>324.05</v>
      </c>
      <c r="G626" s="8">
        <v>5</v>
      </c>
      <c r="H626" s="8">
        <v>10</v>
      </c>
      <c r="I626" s="8">
        <v>15</v>
      </c>
      <c r="J626" s="8">
        <f>C626*0.1</f>
        <v>0.5</v>
      </c>
      <c r="K626" s="8">
        <v>2880</v>
      </c>
      <c r="M626" s="8">
        <v>11</v>
      </c>
      <c r="N626" s="8">
        <v>11</v>
      </c>
      <c r="O626" s="8">
        <v>11</v>
      </c>
      <c r="P626" s="8">
        <f t="shared" ref="P626" si="216">M626*K626*J626</f>
        <v>15840</v>
      </c>
      <c r="Q626" s="8">
        <f t="shared" ref="Q626" si="217">N626*K626*J626</f>
        <v>15840</v>
      </c>
      <c r="R626" s="8">
        <f t="shared" ref="R626" si="218">O626*K626*J626</f>
        <v>15840</v>
      </c>
    </row>
    <row r="627" spans="1:18" ht="64" x14ac:dyDescent="0.2">
      <c r="A627" s="9" t="s">
        <v>9</v>
      </c>
      <c r="B627" s="10" t="s">
        <v>712</v>
      </c>
      <c r="C627" s="8">
        <v>28</v>
      </c>
      <c r="D627" s="11" t="s">
        <v>35</v>
      </c>
      <c r="E627" s="12">
        <v>48.61</v>
      </c>
      <c r="F627" s="12">
        <v>1361.08</v>
      </c>
      <c r="G627" s="8">
        <v>22</v>
      </c>
      <c r="H627" s="8">
        <v>34</v>
      </c>
      <c r="I627" s="8">
        <v>46</v>
      </c>
      <c r="J627" s="8">
        <f>C627*0.05</f>
        <v>1.4000000000000001</v>
      </c>
      <c r="K627" s="8">
        <v>1920</v>
      </c>
      <c r="M627" s="8">
        <v>0.63</v>
      </c>
      <c r="N627" s="8">
        <v>3</v>
      </c>
      <c r="O627" s="8">
        <v>6</v>
      </c>
      <c r="P627" s="8">
        <f t="shared" ref="P627" si="219">M627*K627*J627</f>
        <v>1693.44</v>
      </c>
      <c r="Q627" s="8">
        <f t="shared" ref="Q627" si="220">N627*K627*J627</f>
        <v>8064.0000000000009</v>
      </c>
      <c r="R627" s="8">
        <f t="shared" ref="R627" si="221">O627*K627*J627</f>
        <v>16128.000000000002</v>
      </c>
    </row>
    <row r="628" spans="1:18" ht="64" x14ac:dyDescent="0.2">
      <c r="A628" s="9" t="s">
        <v>10</v>
      </c>
      <c r="B628" s="10" t="s">
        <v>713</v>
      </c>
      <c r="C628" s="8">
        <v>91</v>
      </c>
      <c r="D628" s="11" t="s">
        <v>35</v>
      </c>
      <c r="E628" s="12">
        <v>48.61</v>
      </c>
      <c r="F628" s="12">
        <v>4423.51</v>
      </c>
      <c r="G628" s="8">
        <v>22</v>
      </c>
      <c r="H628" s="8">
        <v>34</v>
      </c>
      <c r="I628" s="8">
        <v>46</v>
      </c>
      <c r="J628" s="8">
        <f>C628*0.05</f>
        <v>4.55</v>
      </c>
      <c r="K628" s="8">
        <v>1920</v>
      </c>
      <c r="M628" s="8">
        <v>0.63</v>
      </c>
      <c r="N628" s="8">
        <v>3</v>
      </c>
      <c r="O628" s="8">
        <v>6</v>
      </c>
      <c r="P628" s="8">
        <f t="shared" ref="P628" si="222">M628*K628*J628</f>
        <v>5503.6799999999994</v>
      </c>
      <c r="Q628" s="8">
        <f t="shared" ref="Q628" si="223">N628*K628*J628</f>
        <v>26208</v>
      </c>
      <c r="R628" s="8">
        <f t="shared" ref="R628" si="224">O628*K628*J628</f>
        <v>52416</v>
      </c>
    </row>
    <row r="629" spans="1:18" ht="64" x14ac:dyDescent="0.2">
      <c r="A629" s="9" t="s">
        <v>11</v>
      </c>
      <c r="B629" s="10" t="s">
        <v>714</v>
      </c>
      <c r="C629" s="8">
        <v>64</v>
      </c>
      <c r="D629" s="11" t="s">
        <v>35</v>
      </c>
      <c r="E629" s="12">
        <v>48.61</v>
      </c>
      <c r="F629" s="12">
        <v>3111.04</v>
      </c>
      <c r="G629" s="8">
        <v>22</v>
      </c>
      <c r="H629" s="8">
        <v>34</v>
      </c>
      <c r="I629" s="8">
        <v>46</v>
      </c>
      <c r="J629" s="8">
        <f>C629*0.05</f>
        <v>3.2</v>
      </c>
      <c r="K629" s="8">
        <v>1920</v>
      </c>
      <c r="M629" s="8">
        <v>0.63</v>
      </c>
      <c r="N629" s="8">
        <v>3</v>
      </c>
      <c r="O629" s="8">
        <v>6</v>
      </c>
      <c r="P629" s="8">
        <f t="shared" ref="P629" si="225">M629*K629*J629</f>
        <v>3870.72</v>
      </c>
      <c r="Q629" s="8">
        <f t="shared" ref="Q629" si="226">N629*K629*J629</f>
        <v>18432</v>
      </c>
      <c r="R629" s="8">
        <f t="shared" ref="R629" si="227">O629*K629*J629</f>
        <v>36864</v>
      </c>
    </row>
    <row r="630" spans="1:18" ht="32" x14ac:dyDescent="0.2">
      <c r="A630" s="9" t="s">
        <v>12</v>
      </c>
      <c r="B630" s="10" t="s">
        <v>715</v>
      </c>
      <c r="C630" s="8">
        <v>2</v>
      </c>
      <c r="D630" s="11" t="s">
        <v>36</v>
      </c>
      <c r="E630" s="12">
        <v>124.23</v>
      </c>
      <c r="F630" s="12">
        <v>248.46</v>
      </c>
      <c r="G630" s="8">
        <v>22</v>
      </c>
      <c r="H630" s="8">
        <v>34</v>
      </c>
      <c r="I630" s="8">
        <v>46</v>
      </c>
    </row>
    <row r="631" spans="1:18" ht="32" x14ac:dyDescent="0.2">
      <c r="A631" s="9" t="s">
        <v>13</v>
      </c>
      <c r="B631" s="10" t="s">
        <v>716</v>
      </c>
      <c r="C631" s="8">
        <v>1</v>
      </c>
      <c r="D631" s="11" t="s">
        <v>36</v>
      </c>
      <c r="E631" s="12">
        <v>297.07</v>
      </c>
      <c r="F631" s="12">
        <v>297.07</v>
      </c>
      <c r="G631" s="8">
        <v>22</v>
      </c>
      <c r="H631" s="8">
        <v>34</v>
      </c>
      <c r="I631" s="8">
        <v>46</v>
      </c>
    </row>
    <row r="632" spans="1:18" ht="32" x14ac:dyDescent="0.2">
      <c r="A632" s="9" t="s">
        <v>14</v>
      </c>
      <c r="B632" s="10" t="s">
        <v>717</v>
      </c>
      <c r="C632" s="8">
        <v>1</v>
      </c>
      <c r="D632" s="11" t="s">
        <v>36</v>
      </c>
      <c r="E632" s="12">
        <v>621.14</v>
      </c>
      <c r="F632" s="12">
        <v>621.14</v>
      </c>
      <c r="G632" s="8">
        <v>22</v>
      </c>
      <c r="H632" s="8">
        <v>34</v>
      </c>
      <c r="I632" s="8">
        <v>46</v>
      </c>
    </row>
    <row r="633" spans="1:18" ht="32" x14ac:dyDescent="0.2">
      <c r="A633" s="9" t="s">
        <v>15</v>
      </c>
      <c r="B633" s="10" t="s">
        <v>718</v>
      </c>
      <c r="C633" s="8">
        <v>518</v>
      </c>
      <c r="D633" s="11" t="s">
        <v>35</v>
      </c>
      <c r="E633" s="14" t="s">
        <v>76</v>
      </c>
      <c r="F633" s="14" t="s">
        <v>76</v>
      </c>
    </row>
    <row r="634" spans="1:18" ht="32" x14ac:dyDescent="0.2">
      <c r="A634" s="9" t="s">
        <v>16</v>
      </c>
      <c r="B634" s="10" t="s">
        <v>719</v>
      </c>
      <c r="C634" s="8">
        <v>518</v>
      </c>
      <c r="D634" s="11" t="s">
        <v>35</v>
      </c>
      <c r="E634" s="14" t="s">
        <v>76</v>
      </c>
      <c r="F634" s="14" t="s">
        <v>76</v>
      </c>
    </row>
    <row r="635" spans="1:18" ht="16" x14ac:dyDescent="0.2">
      <c r="A635" s="9" t="s">
        <v>17</v>
      </c>
      <c r="B635" s="10" t="s">
        <v>720</v>
      </c>
      <c r="C635" s="8">
        <v>518</v>
      </c>
      <c r="D635" s="11" t="s">
        <v>35</v>
      </c>
      <c r="E635" s="14" t="s">
        <v>76</v>
      </c>
      <c r="F635" s="14" t="s">
        <v>76</v>
      </c>
    </row>
    <row r="636" spans="1:18" ht="80" x14ac:dyDescent="0.2">
      <c r="A636" s="9" t="s">
        <v>6</v>
      </c>
      <c r="B636" s="10" t="s">
        <v>721</v>
      </c>
      <c r="C636" s="8">
        <v>1</v>
      </c>
      <c r="D636" s="11" t="s">
        <v>7</v>
      </c>
      <c r="E636" s="14" t="s">
        <v>76</v>
      </c>
      <c r="F636" s="14" t="s">
        <v>76</v>
      </c>
    </row>
    <row r="637" spans="1:18" ht="32" x14ac:dyDescent="0.2">
      <c r="A637" s="9" t="s">
        <v>9</v>
      </c>
      <c r="B637" s="10" t="s">
        <v>722</v>
      </c>
      <c r="C637" s="8">
        <v>159</v>
      </c>
      <c r="D637" s="11" t="s">
        <v>35</v>
      </c>
      <c r="E637" s="14" t="s">
        <v>76</v>
      </c>
      <c r="F637" s="14" t="s">
        <v>76</v>
      </c>
    </row>
    <row r="638" spans="1:18" ht="16" x14ac:dyDescent="0.2">
      <c r="A638" s="9" t="s">
        <v>10</v>
      </c>
      <c r="B638" s="10" t="s">
        <v>723</v>
      </c>
      <c r="C638" s="8">
        <v>159</v>
      </c>
      <c r="D638" s="11" t="s">
        <v>35</v>
      </c>
      <c r="E638" s="14" t="s">
        <v>76</v>
      </c>
      <c r="F638" s="14" t="s">
        <v>76</v>
      </c>
    </row>
    <row r="639" spans="1:18" ht="16" x14ac:dyDescent="0.2">
      <c r="A639" s="9" t="s">
        <v>11</v>
      </c>
      <c r="B639" s="10" t="s">
        <v>77</v>
      </c>
      <c r="C639" s="8">
        <v>159</v>
      </c>
      <c r="D639" s="11" t="s">
        <v>35</v>
      </c>
      <c r="E639" s="14" t="s">
        <v>76</v>
      </c>
      <c r="F639" s="14" t="s">
        <v>76</v>
      </c>
    </row>
    <row r="640" spans="1:18" ht="16" x14ac:dyDescent="0.2">
      <c r="A640" s="9" t="s">
        <v>12</v>
      </c>
      <c r="B640" s="10" t="s">
        <v>724</v>
      </c>
      <c r="C640" s="8">
        <v>12</v>
      </c>
      <c r="D640" s="11" t="s">
        <v>36</v>
      </c>
      <c r="E640" s="14" t="s">
        <v>76</v>
      </c>
      <c r="F640" s="14" t="s">
        <v>76</v>
      </c>
    </row>
    <row r="641" spans="1:10" ht="80" x14ac:dyDescent="0.2">
      <c r="A641" s="9" t="s">
        <v>13</v>
      </c>
      <c r="B641" s="10" t="s">
        <v>721</v>
      </c>
      <c r="C641" s="8">
        <v>1</v>
      </c>
      <c r="D641" s="11" t="s">
        <v>7</v>
      </c>
      <c r="E641" s="14" t="s">
        <v>76</v>
      </c>
      <c r="F641" s="14" t="s">
        <v>76</v>
      </c>
    </row>
    <row r="642" spans="1:10" ht="64" x14ac:dyDescent="0.2">
      <c r="A642" s="9" t="s">
        <v>14</v>
      </c>
      <c r="B642" s="10" t="s">
        <v>725</v>
      </c>
      <c r="C642" s="8">
        <v>32</v>
      </c>
      <c r="D642" s="11" t="s">
        <v>34</v>
      </c>
      <c r="E642" s="12">
        <v>29.36</v>
      </c>
      <c r="F642" s="12">
        <v>939.52</v>
      </c>
      <c r="G642" s="8">
        <v>11</v>
      </c>
      <c r="H642" s="8">
        <v>19</v>
      </c>
      <c r="I642" s="8">
        <v>31</v>
      </c>
    </row>
    <row r="643" spans="1:10" ht="64" x14ac:dyDescent="0.2">
      <c r="A643" s="9" t="s">
        <v>15</v>
      </c>
      <c r="B643" s="10" t="s">
        <v>726</v>
      </c>
      <c r="C643" s="8">
        <v>17</v>
      </c>
      <c r="D643" s="11" t="s">
        <v>34</v>
      </c>
      <c r="E643" s="12">
        <v>34.72</v>
      </c>
      <c r="F643" s="12">
        <v>590.24</v>
      </c>
      <c r="G643" s="8">
        <v>11</v>
      </c>
      <c r="H643" s="8">
        <v>19</v>
      </c>
      <c r="I643" s="8">
        <v>31</v>
      </c>
    </row>
    <row r="644" spans="1:10" ht="64" x14ac:dyDescent="0.2">
      <c r="A644" s="9" t="s">
        <v>16</v>
      </c>
      <c r="B644" s="10" t="s">
        <v>727</v>
      </c>
      <c r="C644" s="8">
        <v>43</v>
      </c>
      <c r="D644" s="11" t="s">
        <v>34</v>
      </c>
      <c r="E644" s="12">
        <v>38.96</v>
      </c>
      <c r="F644" s="12">
        <v>1675.28</v>
      </c>
      <c r="G644" s="8">
        <v>11</v>
      </c>
      <c r="H644" s="8">
        <v>19</v>
      </c>
      <c r="I644" s="8">
        <v>31</v>
      </c>
    </row>
    <row r="645" spans="1:10" ht="32" x14ac:dyDescent="0.2">
      <c r="A645" s="9" t="s">
        <v>17</v>
      </c>
      <c r="B645" s="10" t="s">
        <v>728</v>
      </c>
      <c r="C645" s="8">
        <v>5</v>
      </c>
      <c r="D645" s="11" t="s">
        <v>36</v>
      </c>
      <c r="E645" s="12">
        <v>197.49</v>
      </c>
      <c r="F645" s="12">
        <v>987.45</v>
      </c>
      <c r="G645" s="8">
        <v>17</v>
      </c>
      <c r="H645" s="8">
        <v>27</v>
      </c>
      <c r="I645" s="8">
        <v>40</v>
      </c>
      <c r="J645" s="8" t="s">
        <v>103</v>
      </c>
    </row>
    <row r="646" spans="1:10" ht="48" x14ac:dyDescent="0.2">
      <c r="A646" s="9" t="s">
        <v>6</v>
      </c>
      <c r="B646" s="10" t="s">
        <v>729</v>
      </c>
      <c r="C646" s="8">
        <v>1</v>
      </c>
      <c r="D646" s="11" t="s">
        <v>36</v>
      </c>
      <c r="E646" s="12">
        <v>2000</v>
      </c>
      <c r="F646" s="12">
        <v>2000</v>
      </c>
      <c r="G646" s="8">
        <v>17</v>
      </c>
      <c r="H646" s="8">
        <v>27</v>
      </c>
      <c r="I646" s="8">
        <v>40</v>
      </c>
      <c r="J646" s="8" t="s">
        <v>103</v>
      </c>
    </row>
    <row r="647" spans="1:10" ht="80" x14ac:dyDescent="0.2">
      <c r="A647" s="9" t="s">
        <v>9</v>
      </c>
      <c r="B647" s="10" t="s">
        <v>730</v>
      </c>
      <c r="C647" s="8">
        <v>1</v>
      </c>
      <c r="D647" s="11" t="s">
        <v>36</v>
      </c>
      <c r="E647" s="12">
        <v>1200</v>
      </c>
      <c r="F647" s="12">
        <v>1200</v>
      </c>
      <c r="G647" s="8">
        <v>17</v>
      </c>
      <c r="H647" s="8">
        <v>27</v>
      </c>
      <c r="I647" s="8">
        <v>40</v>
      </c>
    </row>
    <row r="648" spans="1:10" ht="32" x14ac:dyDescent="0.2">
      <c r="A648" s="9" t="s">
        <v>10</v>
      </c>
      <c r="B648" s="10" t="s">
        <v>731</v>
      </c>
      <c r="C648" s="8">
        <v>1</v>
      </c>
      <c r="D648" s="11" t="s">
        <v>36</v>
      </c>
      <c r="E648" s="12">
        <v>662.04</v>
      </c>
      <c r="F648" s="12">
        <v>662.04</v>
      </c>
      <c r="G648" s="8">
        <v>10</v>
      </c>
      <c r="H648" s="8">
        <v>15</v>
      </c>
      <c r="I648" s="8">
        <v>20</v>
      </c>
      <c r="J648" s="8" t="s">
        <v>104</v>
      </c>
    </row>
    <row r="649" spans="1:10" ht="48" x14ac:dyDescent="0.2">
      <c r="A649" s="9" t="s">
        <v>6</v>
      </c>
      <c r="B649" s="10" t="s">
        <v>732</v>
      </c>
      <c r="C649" s="8">
        <v>1</v>
      </c>
      <c r="D649" s="11" t="s">
        <v>7</v>
      </c>
      <c r="E649" s="12">
        <v>216.05</v>
      </c>
      <c r="F649" s="12">
        <v>216.05</v>
      </c>
      <c r="G649" s="8">
        <v>1</v>
      </c>
      <c r="H649" s="8">
        <v>1</v>
      </c>
      <c r="I649" s="8">
        <v>1</v>
      </c>
    </row>
    <row r="650" spans="1:10" ht="32" x14ac:dyDescent="0.2">
      <c r="A650" s="9" t="s">
        <v>9</v>
      </c>
      <c r="B650" s="10" t="s">
        <v>733</v>
      </c>
      <c r="C650" s="8">
        <v>1</v>
      </c>
      <c r="D650" s="11" t="s">
        <v>7</v>
      </c>
      <c r="E650" s="12">
        <v>216.05</v>
      </c>
      <c r="F650" s="12">
        <v>216.05</v>
      </c>
      <c r="G650" s="8">
        <v>1</v>
      </c>
      <c r="H650" s="8">
        <v>1</v>
      </c>
      <c r="I650" s="8">
        <v>1</v>
      </c>
    </row>
    <row r="651" spans="1:10" ht="16" x14ac:dyDescent="0.2">
      <c r="A651" s="9" t="s">
        <v>10</v>
      </c>
      <c r="B651" s="10" t="s">
        <v>78</v>
      </c>
      <c r="C651" s="8">
        <v>0</v>
      </c>
      <c r="D651" s="11" t="s">
        <v>33</v>
      </c>
      <c r="E651" s="12">
        <v>0</v>
      </c>
      <c r="F651" s="12">
        <v>0</v>
      </c>
    </row>
    <row r="652" spans="1:10" ht="16" x14ac:dyDescent="0.2">
      <c r="A652" s="9" t="s">
        <v>11</v>
      </c>
      <c r="B652" s="10" t="s">
        <v>79</v>
      </c>
      <c r="C652" s="8">
        <v>0</v>
      </c>
      <c r="D652" s="11" t="s">
        <v>33</v>
      </c>
      <c r="E652" s="12">
        <v>0</v>
      </c>
      <c r="F652" s="12">
        <v>0</v>
      </c>
    </row>
    <row r="653" spans="1:10" ht="16" x14ac:dyDescent="0.2">
      <c r="A653" s="9" t="s">
        <v>12</v>
      </c>
      <c r="B653" s="10" t="s">
        <v>80</v>
      </c>
      <c r="C653" s="8">
        <v>0</v>
      </c>
      <c r="D653" s="11" t="s">
        <v>33</v>
      </c>
      <c r="E653" s="12">
        <v>0</v>
      </c>
      <c r="F653" s="12">
        <v>0</v>
      </c>
    </row>
    <row r="654" spans="1:10" ht="16" x14ac:dyDescent="0.2">
      <c r="A654" s="9" t="s">
        <v>13</v>
      </c>
      <c r="B654" s="10" t="s">
        <v>81</v>
      </c>
      <c r="C654" s="8">
        <v>0</v>
      </c>
      <c r="D654" s="11" t="s">
        <v>33</v>
      </c>
      <c r="E654" s="12">
        <v>0</v>
      </c>
      <c r="F654" s="12">
        <v>0</v>
      </c>
    </row>
    <row r="655" spans="1:10" ht="48" x14ac:dyDescent="0.2">
      <c r="A655" s="9" t="s">
        <v>14</v>
      </c>
      <c r="B655" s="10" t="s">
        <v>82</v>
      </c>
      <c r="C655" s="8">
        <v>0</v>
      </c>
      <c r="D655" s="11" t="s">
        <v>33</v>
      </c>
      <c r="E655" s="12">
        <v>0</v>
      </c>
      <c r="F655" s="12">
        <v>0</v>
      </c>
    </row>
    <row r="656" spans="1:10" ht="32" x14ac:dyDescent="0.2">
      <c r="A656" s="9" t="s">
        <v>15</v>
      </c>
      <c r="B656" s="10" t="s">
        <v>83</v>
      </c>
      <c r="C656" s="8">
        <v>0</v>
      </c>
      <c r="D656" s="11" t="s">
        <v>33</v>
      </c>
      <c r="E656" s="12">
        <v>0</v>
      </c>
      <c r="F656" s="12">
        <v>0</v>
      </c>
    </row>
    <row r="657" spans="1:18" ht="32" x14ac:dyDescent="0.2">
      <c r="A657" s="9" t="s">
        <v>16</v>
      </c>
      <c r="B657" s="10" t="s">
        <v>84</v>
      </c>
      <c r="C657" s="8">
        <v>0</v>
      </c>
      <c r="D657" s="11" t="s">
        <v>33</v>
      </c>
      <c r="E657" s="12">
        <v>0</v>
      </c>
      <c r="F657" s="12">
        <v>0</v>
      </c>
    </row>
    <row r="658" spans="1:18" ht="64" x14ac:dyDescent="0.2">
      <c r="A658" s="9" t="s">
        <v>6</v>
      </c>
      <c r="B658" s="10" t="s">
        <v>734</v>
      </c>
      <c r="C658" s="8">
        <v>114</v>
      </c>
      <c r="D658" s="11" t="s">
        <v>34</v>
      </c>
      <c r="E658" s="12">
        <v>32.409999999999997</v>
      </c>
      <c r="F658" s="12">
        <v>3694.74</v>
      </c>
      <c r="G658" s="8">
        <v>41</v>
      </c>
      <c r="H658" s="8">
        <v>63</v>
      </c>
      <c r="I658" s="8">
        <v>84</v>
      </c>
      <c r="J658" s="8">
        <f>C658*0.625*0.2</f>
        <v>14.25</v>
      </c>
      <c r="K658" s="13">
        <v>2050</v>
      </c>
      <c r="L658" s="13" t="s">
        <v>108</v>
      </c>
      <c r="M658" s="13">
        <v>0.15</v>
      </c>
      <c r="N658" s="13">
        <v>0.45</v>
      </c>
      <c r="O658" s="13">
        <v>0.73</v>
      </c>
      <c r="P658" s="8">
        <f>M658*K658*J658</f>
        <v>4381.875</v>
      </c>
      <c r="Q658" s="8">
        <f>N658*K658*J658</f>
        <v>13145.625</v>
      </c>
      <c r="R658" s="8">
        <f>O658*K658*J658</f>
        <v>21325.125</v>
      </c>
    </row>
    <row r="659" spans="1:18" ht="48" x14ac:dyDescent="0.2">
      <c r="A659" s="9" t="s">
        <v>9</v>
      </c>
      <c r="B659" s="10" t="s">
        <v>735</v>
      </c>
      <c r="C659" s="8">
        <v>114</v>
      </c>
      <c r="D659" s="11" t="s">
        <v>34</v>
      </c>
      <c r="E659" s="12">
        <v>25.93</v>
      </c>
      <c r="F659" s="12">
        <v>2956.02</v>
      </c>
      <c r="G659" s="8">
        <v>41</v>
      </c>
      <c r="H659" s="8">
        <v>63</v>
      </c>
      <c r="I659" s="8">
        <v>82</v>
      </c>
      <c r="J659" s="8">
        <f>C659*0.1*0.05</f>
        <v>0.57000000000000006</v>
      </c>
      <c r="K659" s="13">
        <v>2050</v>
      </c>
      <c r="L659" s="13" t="s">
        <v>108</v>
      </c>
      <c r="M659" s="13">
        <v>0.15</v>
      </c>
      <c r="N659" s="13">
        <v>0.45</v>
      </c>
      <c r="O659" s="13">
        <v>0.73</v>
      </c>
      <c r="P659" s="8">
        <f>M659*K659*J659</f>
        <v>175.27500000000001</v>
      </c>
      <c r="Q659" s="8">
        <f>N659*K659*J659</f>
        <v>525.82500000000005</v>
      </c>
      <c r="R659" s="8">
        <f>O659*K659*J659</f>
        <v>853.00500000000011</v>
      </c>
    </row>
    <row r="660" spans="1:18" ht="32" x14ac:dyDescent="0.2">
      <c r="A660" s="9" t="s">
        <v>10</v>
      </c>
      <c r="B660" s="10" t="s">
        <v>736</v>
      </c>
      <c r="C660" s="8">
        <v>114</v>
      </c>
      <c r="D660" s="11" t="s">
        <v>34</v>
      </c>
      <c r="E660" s="12">
        <v>11.88</v>
      </c>
      <c r="F660" s="12">
        <v>1354.32</v>
      </c>
      <c r="G660" s="8">
        <v>35</v>
      </c>
      <c r="H660" s="8">
        <v>53</v>
      </c>
      <c r="I660" s="8">
        <v>70</v>
      </c>
      <c r="J660" s="8">
        <f>C660*0.1*3.14*0.0032</f>
        <v>0.1145472</v>
      </c>
      <c r="K660" s="13">
        <v>37</v>
      </c>
      <c r="L660" s="13" t="s">
        <v>146</v>
      </c>
      <c r="M660" s="13">
        <f>67.5*0.7</f>
        <v>47.25</v>
      </c>
      <c r="N660" s="13">
        <v>67.5</v>
      </c>
      <c r="O660" s="13">
        <f>67.5*1.3</f>
        <v>87.75</v>
      </c>
      <c r="P660" s="8">
        <f>M660*K660*J660</f>
        <v>200.25714239999999</v>
      </c>
      <c r="Q660" s="8">
        <f>N660*K660*J660</f>
        <v>286.08163200000001</v>
      </c>
      <c r="R660" s="8">
        <f>O660*K660*J660</f>
        <v>371.90612160000001</v>
      </c>
    </row>
    <row r="661" spans="1:18" ht="16" x14ac:dyDescent="0.2">
      <c r="A661" s="9" t="s">
        <v>11</v>
      </c>
      <c r="B661" s="10" t="s">
        <v>737</v>
      </c>
      <c r="C661" s="8">
        <v>38</v>
      </c>
      <c r="D661" s="11" t="s">
        <v>36</v>
      </c>
      <c r="E661" s="12">
        <v>30.25</v>
      </c>
      <c r="F661" s="12">
        <v>1149.5</v>
      </c>
      <c r="G661" s="8">
        <v>35</v>
      </c>
      <c r="H661" s="8">
        <v>53</v>
      </c>
      <c r="I661" s="8">
        <v>70</v>
      </c>
    </row>
    <row r="662" spans="1:18" ht="32" x14ac:dyDescent="0.2">
      <c r="A662" s="9" t="s">
        <v>12</v>
      </c>
      <c r="B662" s="10" t="s">
        <v>738</v>
      </c>
      <c r="C662" s="8">
        <v>19</v>
      </c>
      <c r="D662" s="11" t="s">
        <v>36</v>
      </c>
      <c r="E662" s="12">
        <v>30.25</v>
      </c>
      <c r="F662" s="12">
        <v>574.75</v>
      </c>
      <c r="G662" s="8">
        <v>35</v>
      </c>
      <c r="H662" s="8">
        <v>53</v>
      </c>
      <c r="I662" s="8">
        <v>70</v>
      </c>
    </row>
    <row r="663" spans="1:18" ht="32" x14ac:dyDescent="0.2">
      <c r="A663" s="9" t="s">
        <v>13</v>
      </c>
      <c r="B663" s="10" t="s">
        <v>739</v>
      </c>
      <c r="C663" s="8">
        <v>19</v>
      </c>
      <c r="D663" s="11" t="s">
        <v>36</v>
      </c>
      <c r="E663" s="12">
        <v>34.57</v>
      </c>
      <c r="F663" s="12">
        <v>656.83</v>
      </c>
      <c r="G663" s="8">
        <v>35</v>
      </c>
      <c r="H663" s="8">
        <v>53</v>
      </c>
      <c r="I663" s="8">
        <v>70</v>
      </c>
    </row>
    <row r="664" spans="1:18" ht="16" x14ac:dyDescent="0.2">
      <c r="A664" s="9" t="s">
        <v>14</v>
      </c>
      <c r="B664" s="10" t="s">
        <v>740</v>
      </c>
      <c r="C664" s="8">
        <v>19</v>
      </c>
      <c r="D664" s="11" t="s">
        <v>36</v>
      </c>
      <c r="E664" s="12">
        <v>37.81</v>
      </c>
      <c r="F664" s="12">
        <v>718.39</v>
      </c>
      <c r="G664" s="8">
        <v>35</v>
      </c>
      <c r="H664" s="8">
        <v>53</v>
      </c>
      <c r="I664" s="8">
        <v>70</v>
      </c>
    </row>
    <row r="665" spans="1:18" ht="32" x14ac:dyDescent="0.2">
      <c r="A665" s="9" t="s">
        <v>15</v>
      </c>
      <c r="B665" s="10" t="s">
        <v>741</v>
      </c>
      <c r="C665" s="8">
        <v>114</v>
      </c>
      <c r="D665" s="11" t="s">
        <v>34</v>
      </c>
      <c r="E665" s="12">
        <v>1.08</v>
      </c>
      <c r="F665" s="12">
        <v>123.12</v>
      </c>
      <c r="G665" s="8">
        <v>1</v>
      </c>
      <c r="H665" s="8">
        <v>1</v>
      </c>
      <c r="I665" s="8">
        <v>1</v>
      </c>
    </row>
    <row r="666" spans="1:18" ht="32" x14ac:dyDescent="0.2">
      <c r="A666" s="9" t="s">
        <v>6</v>
      </c>
      <c r="B666" s="10" t="s">
        <v>742</v>
      </c>
      <c r="C666" s="8">
        <v>1</v>
      </c>
      <c r="D666" s="11" t="s">
        <v>7</v>
      </c>
      <c r="E666" s="12">
        <v>59.41</v>
      </c>
      <c r="F666" s="12">
        <v>59.41</v>
      </c>
      <c r="G666" s="8">
        <v>1</v>
      </c>
      <c r="H666" s="8">
        <v>1</v>
      </c>
      <c r="I666" s="8">
        <v>1</v>
      </c>
    </row>
    <row r="667" spans="1:18" ht="48" x14ac:dyDescent="0.2">
      <c r="A667" s="9" t="s">
        <v>9</v>
      </c>
      <c r="B667" s="10" t="s">
        <v>743</v>
      </c>
      <c r="C667" s="8">
        <v>1</v>
      </c>
      <c r="D667" s="11" t="s">
        <v>36</v>
      </c>
      <c r="E667" s="12">
        <v>448.3</v>
      </c>
      <c r="F667" s="12">
        <v>448.3</v>
      </c>
      <c r="G667" s="8">
        <v>1</v>
      </c>
      <c r="H667" s="8">
        <v>1</v>
      </c>
      <c r="I667" s="8">
        <v>1</v>
      </c>
    </row>
    <row r="668" spans="1:18" ht="32" x14ac:dyDescent="0.2">
      <c r="A668" s="9" t="s">
        <v>10</v>
      </c>
      <c r="B668" s="10" t="s">
        <v>744</v>
      </c>
      <c r="C668" s="8">
        <v>25</v>
      </c>
      <c r="D668" s="11" t="s">
        <v>34</v>
      </c>
      <c r="E668" s="12">
        <v>34.57</v>
      </c>
      <c r="F668" s="12">
        <v>864.25</v>
      </c>
      <c r="G668" s="8">
        <v>500</v>
      </c>
      <c r="H668" s="8">
        <v>750</v>
      </c>
      <c r="I668" s="8">
        <v>1000</v>
      </c>
      <c r="J668" s="8">
        <f>C668*0.9*0.225</f>
        <v>5.0625</v>
      </c>
      <c r="K668" s="13">
        <v>2050</v>
      </c>
      <c r="L668" s="13" t="s">
        <v>108</v>
      </c>
      <c r="M668" s="13">
        <v>0.15</v>
      </c>
      <c r="N668" s="13">
        <v>0.45</v>
      </c>
      <c r="O668" s="13">
        <v>0.73</v>
      </c>
      <c r="P668" s="8">
        <f t="shared" ref="P668:P674" si="228">M668*K668*J668</f>
        <v>1556.71875</v>
      </c>
      <c r="Q668" s="8">
        <f t="shared" ref="Q668:Q674" si="229">N668*K668*J668</f>
        <v>4670.15625</v>
      </c>
      <c r="R668" s="8">
        <f t="shared" ref="R668:R674" si="230">O668*K668*J668</f>
        <v>7576.03125</v>
      </c>
    </row>
    <row r="669" spans="1:18" ht="32" x14ac:dyDescent="0.2">
      <c r="A669" s="9" t="s">
        <v>11</v>
      </c>
      <c r="B669" s="10" t="s">
        <v>745</v>
      </c>
      <c r="C669" s="8">
        <v>18</v>
      </c>
      <c r="D669" s="11" t="s">
        <v>34</v>
      </c>
      <c r="E669" s="12">
        <v>38.89</v>
      </c>
      <c r="F669" s="12">
        <v>700.02</v>
      </c>
      <c r="G669" s="8">
        <v>500</v>
      </c>
      <c r="H669" s="8">
        <v>750</v>
      </c>
      <c r="I669" s="8">
        <v>1000</v>
      </c>
      <c r="J669" s="8">
        <f>C669*0.225*1.125</f>
        <v>4.5562499999999995</v>
      </c>
      <c r="K669" s="13">
        <v>2050</v>
      </c>
      <c r="L669" s="13" t="s">
        <v>108</v>
      </c>
      <c r="M669" s="13">
        <v>0.15</v>
      </c>
      <c r="N669" s="13">
        <v>0.45</v>
      </c>
      <c r="O669" s="13">
        <v>0.73</v>
      </c>
      <c r="P669" s="8">
        <f t="shared" si="228"/>
        <v>1401.0468749999998</v>
      </c>
      <c r="Q669" s="8">
        <f t="shared" si="229"/>
        <v>4203.1406249999991</v>
      </c>
      <c r="R669" s="8">
        <f t="shared" si="230"/>
        <v>6818.4281249999995</v>
      </c>
    </row>
    <row r="670" spans="1:18" ht="32" x14ac:dyDescent="0.2">
      <c r="A670" s="9" t="s">
        <v>12</v>
      </c>
      <c r="B670" s="10" t="s">
        <v>746</v>
      </c>
      <c r="C670" s="8">
        <v>24</v>
      </c>
      <c r="D670" s="11" t="s">
        <v>34</v>
      </c>
      <c r="E670" s="12">
        <v>42.13</v>
      </c>
      <c r="F670" s="12">
        <v>1011.12</v>
      </c>
      <c r="G670" s="8">
        <v>500</v>
      </c>
      <c r="H670" s="8">
        <v>750</v>
      </c>
      <c r="I670" s="8">
        <v>1000</v>
      </c>
      <c r="J670" s="8">
        <f>C670*1.4*0.225</f>
        <v>7.5599999999999987</v>
      </c>
      <c r="K670" s="13">
        <v>2050</v>
      </c>
      <c r="L670" s="13" t="s">
        <v>108</v>
      </c>
      <c r="M670" s="13">
        <v>0.15</v>
      </c>
      <c r="N670" s="13">
        <v>0.45</v>
      </c>
      <c r="O670" s="13">
        <v>0.73</v>
      </c>
      <c r="P670" s="8">
        <f t="shared" si="228"/>
        <v>2324.6999999999998</v>
      </c>
      <c r="Q670" s="8">
        <f t="shared" si="229"/>
        <v>6974.0999999999985</v>
      </c>
      <c r="R670" s="8">
        <f t="shared" si="230"/>
        <v>11313.539999999997</v>
      </c>
    </row>
    <row r="671" spans="1:18" ht="32" x14ac:dyDescent="0.2">
      <c r="A671" s="9" t="s">
        <v>13</v>
      </c>
      <c r="B671" s="10" t="s">
        <v>747</v>
      </c>
      <c r="C671" s="8">
        <v>17</v>
      </c>
      <c r="D671" s="11" t="s">
        <v>34</v>
      </c>
      <c r="E671" s="12">
        <v>47.53</v>
      </c>
      <c r="F671" s="12">
        <v>808.01</v>
      </c>
      <c r="G671" s="8">
        <v>500</v>
      </c>
      <c r="H671" s="8">
        <v>750</v>
      </c>
      <c r="I671" s="8">
        <v>1000</v>
      </c>
      <c r="J671" s="8">
        <f>C671*1.625*0.225</f>
        <v>6.2156250000000002</v>
      </c>
      <c r="K671" s="13">
        <v>2050</v>
      </c>
      <c r="L671" s="13" t="s">
        <v>108</v>
      </c>
      <c r="M671" s="13">
        <v>0.15</v>
      </c>
      <c r="N671" s="13">
        <v>0.45</v>
      </c>
      <c r="O671" s="13">
        <v>0.73</v>
      </c>
      <c r="P671" s="8">
        <f t="shared" si="228"/>
        <v>1911.3046875</v>
      </c>
      <c r="Q671" s="8">
        <f t="shared" si="229"/>
        <v>5733.9140625</v>
      </c>
      <c r="R671" s="8">
        <f t="shared" si="230"/>
        <v>9301.6828125000011</v>
      </c>
    </row>
    <row r="672" spans="1:18" ht="32" x14ac:dyDescent="0.2">
      <c r="A672" s="9" t="s">
        <v>14</v>
      </c>
      <c r="B672" s="10" t="s">
        <v>748</v>
      </c>
      <c r="C672" s="8">
        <v>19</v>
      </c>
      <c r="D672" s="11" t="s">
        <v>34</v>
      </c>
      <c r="E672" s="12">
        <v>51.85</v>
      </c>
      <c r="F672" s="12">
        <v>985.15</v>
      </c>
      <c r="G672" s="8">
        <v>500</v>
      </c>
      <c r="H672" s="8">
        <v>750</v>
      </c>
      <c r="I672" s="8">
        <v>1000</v>
      </c>
      <c r="J672" s="8">
        <f>C672*1.875*0.225</f>
        <v>8.015625</v>
      </c>
      <c r="K672" s="13">
        <v>2050</v>
      </c>
      <c r="L672" s="13" t="s">
        <v>108</v>
      </c>
      <c r="M672" s="13">
        <v>0.15</v>
      </c>
      <c r="N672" s="13">
        <v>0.45</v>
      </c>
      <c r="O672" s="13">
        <v>0.73</v>
      </c>
      <c r="P672" s="8">
        <f t="shared" si="228"/>
        <v>2464.8046875</v>
      </c>
      <c r="Q672" s="8">
        <f t="shared" si="229"/>
        <v>7394.4140625</v>
      </c>
      <c r="R672" s="8">
        <f t="shared" si="230"/>
        <v>11995.3828125</v>
      </c>
    </row>
    <row r="673" spans="1:18" ht="32" x14ac:dyDescent="0.2">
      <c r="A673" s="9" t="s">
        <v>15</v>
      </c>
      <c r="B673" s="10" t="s">
        <v>749</v>
      </c>
      <c r="C673" s="8">
        <v>103</v>
      </c>
      <c r="D673" s="11" t="s">
        <v>34</v>
      </c>
      <c r="E673" s="12">
        <v>11.88</v>
      </c>
      <c r="F673" s="12">
        <v>1223.6400000000001</v>
      </c>
      <c r="G673" s="8">
        <v>500</v>
      </c>
      <c r="H673" s="8">
        <v>750</v>
      </c>
      <c r="I673" s="8">
        <v>1000</v>
      </c>
      <c r="J673" s="8">
        <f>C673*0.225*0.05</f>
        <v>1.1587500000000002</v>
      </c>
      <c r="K673" s="13">
        <v>2240</v>
      </c>
      <c r="L673" s="13" t="s">
        <v>115</v>
      </c>
      <c r="M673" s="13">
        <v>0.05</v>
      </c>
      <c r="N673" s="13">
        <v>8.1000000000000003E-2</v>
      </c>
      <c r="O673" s="13">
        <v>0.15</v>
      </c>
      <c r="P673" s="8">
        <f t="shared" si="228"/>
        <v>129.78000000000003</v>
      </c>
      <c r="Q673" s="8">
        <f t="shared" si="229"/>
        <v>210.24360000000001</v>
      </c>
      <c r="R673" s="8">
        <f t="shared" si="230"/>
        <v>389.34000000000003</v>
      </c>
    </row>
    <row r="674" spans="1:18" ht="16" x14ac:dyDescent="0.2">
      <c r="A674" s="9" t="s">
        <v>16</v>
      </c>
      <c r="B674" s="10" t="s">
        <v>750</v>
      </c>
      <c r="C674" s="8">
        <v>103</v>
      </c>
      <c r="D674" s="11" t="s">
        <v>34</v>
      </c>
      <c r="E674" s="12">
        <v>17.28</v>
      </c>
      <c r="F674" s="12">
        <v>1779.84</v>
      </c>
      <c r="G674" s="8">
        <v>35</v>
      </c>
      <c r="H674" s="8">
        <v>53</v>
      </c>
      <c r="I674" s="8">
        <v>70</v>
      </c>
      <c r="J674" s="8">
        <f>C674*0.225*3.14*0.0032</f>
        <v>0.23286240000000002</v>
      </c>
      <c r="K674" s="13">
        <v>37</v>
      </c>
      <c r="L674" s="13" t="s">
        <v>146</v>
      </c>
      <c r="M674" s="13">
        <f>67.5*0.7</f>
        <v>47.25</v>
      </c>
      <c r="N674" s="13">
        <v>67.5</v>
      </c>
      <c r="O674" s="13">
        <f>67.5*1.3</f>
        <v>87.75</v>
      </c>
      <c r="P674" s="8">
        <f t="shared" si="228"/>
        <v>407.10169080000003</v>
      </c>
      <c r="Q674" s="8">
        <f t="shared" si="229"/>
        <v>581.57384400000001</v>
      </c>
      <c r="R674" s="8">
        <f t="shared" si="230"/>
        <v>756.0459972000001</v>
      </c>
    </row>
    <row r="675" spans="1:18" ht="16" x14ac:dyDescent="0.2">
      <c r="A675" s="9" t="s">
        <v>17</v>
      </c>
      <c r="B675" s="10" t="s">
        <v>751</v>
      </c>
      <c r="C675" s="8">
        <v>10</v>
      </c>
      <c r="D675" s="11" t="s">
        <v>36</v>
      </c>
      <c r="E675" s="12">
        <v>30.25</v>
      </c>
      <c r="F675" s="12">
        <v>302.5</v>
      </c>
      <c r="G675" s="8">
        <v>35</v>
      </c>
      <c r="H675" s="8">
        <v>53</v>
      </c>
      <c r="I675" s="8">
        <v>70</v>
      </c>
    </row>
    <row r="676" spans="1:18" ht="32" x14ac:dyDescent="0.2">
      <c r="A676" s="9" t="s">
        <v>18</v>
      </c>
      <c r="B676" s="10" t="s">
        <v>752</v>
      </c>
      <c r="C676" s="8">
        <v>16</v>
      </c>
      <c r="D676" s="11" t="s">
        <v>36</v>
      </c>
      <c r="E676" s="12">
        <v>30.25</v>
      </c>
      <c r="F676" s="12">
        <v>484</v>
      </c>
      <c r="G676" s="8">
        <v>35</v>
      </c>
      <c r="H676" s="8">
        <v>53</v>
      </c>
      <c r="I676" s="8">
        <v>70</v>
      </c>
    </row>
    <row r="677" spans="1:18" ht="32" x14ac:dyDescent="0.2">
      <c r="A677" s="9" t="s">
        <v>19</v>
      </c>
      <c r="B677" s="10" t="s">
        <v>753</v>
      </c>
      <c r="C677" s="8">
        <v>1</v>
      </c>
      <c r="D677" s="11" t="s">
        <v>36</v>
      </c>
      <c r="E677" s="12">
        <v>37.81</v>
      </c>
      <c r="F677" s="12">
        <v>37.81</v>
      </c>
      <c r="G677" s="8">
        <v>35</v>
      </c>
      <c r="H677" s="8">
        <v>53</v>
      </c>
      <c r="I677" s="8">
        <v>70</v>
      </c>
    </row>
    <row r="678" spans="1:18" ht="32" x14ac:dyDescent="0.2">
      <c r="A678" s="9" t="s">
        <v>20</v>
      </c>
      <c r="B678" s="10" t="s">
        <v>754</v>
      </c>
      <c r="C678" s="8">
        <v>1</v>
      </c>
      <c r="D678" s="11" t="s">
        <v>36</v>
      </c>
      <c r="E678" s="12">
        <v>37.81</v>
      </c>
      <c r="F678" s="12">
        <v>37.81</v>
      </c>
      <c r="G678" s="8">
        <v>35</v>
      </c>
      <c r="H678" s="8">
        <v>53</v>
      </c>
      <c r="I678" s="8">
        <v>70</v>
      </c>
    </row>
    <row r="679" spans="1:18" ht="32" x14ac:dyDescent="0.2">
      <c r="A679" s="9" t="s">
        <v>21</v>
      </c>
      <c r="B679" s="10" t="s">
        <v>741</v>
      </c>
      <c r="C679" s="8">
        <v>103</v>
      </c>
      <c r="D679" s="11" t="s">
        <v>34</v>
      </c>
      <c r="E679" s="12">
        <v>1.08</v>
      </c>
      <c r="F679" s="12">
        <v>111.24</v>
      </c>
      <c r="G679" s="8">
        <v>1</v>
      </c>
      <c r="H679" s="8">
        <v>1</v>
      </c>
      <c r="I679" s="8">
        <v>1</v>
      </c>
    </row>
    <row r="680" spans="1:18" ht="32" x14ac:dyDescent="0.2">
      <c r="A680" s="9" t="s">
        <v>6</v>
      </c>
      <c r="B680" s="10" t="s">
        <v>755</v>
      </c>
      <c r="C680" s="8">
        <v>1</v>
      </c>
      <c r="D680" s="11" t="s">
        <v>36</v>
      </c>
      <c r="E680" s="12">
        <v>1528.54</v>
      </c>
      <c r="F680" s="12">
        <v>1528.54</v>
      </c>
      <c r="G680" s="8">
        <v>50</v>
      </c>
      <c r="H680" s="8">
        <v>50</v>
      </c>
      <c r="I680" s="8">
        <v>50</v>
      </c>
      <c r="J680" s="8">
        <f>0.15*3.14*1.2*1.25</f>
        <v>0.70649999999999991</v>
      </c>
      <c r="K680" s="8">
        <v>850</v>
      </c>
      <c r="M680" s="8">
        <v>1.2</v>
      </c>
      <c r="N680" s="8">
        <v>2.1800000000000002</v>
      </c>
      <c r="O680" s="8">
        <v>3.8</v>
      </c>
      <c r="P680" s="8">
        <f>M680*K680*J680</f>
        <v>720.62999999999988</v>
      </c>
      <c r="Q680" s="8">
        <f>N680*K680*J680</f>
        <v>1309.1444999999999</v>
      </c>
      <c r="R680" s="8">
        <f>O680*K680*J680</f>
        <v>2281.9949999999999</v>
      </c>
    </row>
    <row r="681" spans="1:18" ht="32" x14ac:dyDescent="0.2">
      <c r="A681" s="9" t="s">
        <v>9</v>
      </c>
      <c r="B681" s="10" t="s">
        <v>756</v>
      </c>
      <c r="C681" s="8">
        <v>2</v>
      </c>
      <c r="D681" s="11" t="s">
        <v>36</v>
      </c>
      <c r="E681" s="12">
        <v>1701.38</v>
      </c>
      <c r="F681" s="12">
        <v>3402.76</v>
      </c>
      <c r="G681" s="8">
        <v>50</v>
      </c>
      <c r="H681" s="8">
        <v>50</v>
      </c>
      <c r="I681" s="8">
        <v>50</v>
      </c>
      <c r="J681" s="8">
        <f>0.15*3.14*1.2*1.5*2</f>
        <v>1.6955999999999998</v>
      </c>
      <c r="K681" s="8">
        <v>850</v>
      </c>
      <c r="M681" s="8">
        <v>1.2</v>
      </c>
      <c r="N681" s="8">
        <v>2.1800000000000002</v>
      </c>
      <c r="O681" s="8">
        <v>3.8</v>
      </c>
      <c r="P681" s="8">
        <f>M681*K681*J681</f>
        <v>1729.5119999999997</v>
      </c>
      <c r="Q681" s="8">
        <f>N681*K681*J681</f>
        <v>3141.9468000000002</v>
      </c>
      <c r="R681" s="8">
        <f>O681*K681*J681</f>
        <v>5476.7879999999996</v>
      </c>
    </row>
    <row r="682" spans="1:18" ht="32" x14ac:dyDescent="0.2">
      <c r="A682" s="9" t="s">
        <v>10</v>
      </c>
      <c r="B682" s="10" t="s">
        <v>757</v>
      </c>
      <c r="C682" s="8">
        <v>2</v>
      </c>
      <c r="D682" s="11" t="s">
        <v>36</v>
      </c>
      <c r="E682" s="12">
        <v>1824.53</v>
      </c>
      <c r="F682" s="12">
        <v>3649.06</v>
      </c>
      <c r="G682" s="8">
        <v>50</v>
      </c>
      <c r="H682" s="8">
        <v>50</v>
      </c>
      <c r="I682" s="8">
        <v>50</v>
      </c>
      <c r="J682" s="8">
        <f>0.15*1.2*3.14*1.75*2</f>
        <v>1.9782000000000002</v>
      </c>
      <c r="K682" s="8">
        <v>850</v>
      </c>
      <c r="M682" s="8">
        <v>1.2</v>
      </c>
      <c r="N682" s="8">
        <v>2.1800000000000002</v>
      </c>
      <c r="O682" s="8">
        <v>3.8</v>
      </c>
      <c r="P682" s="8">
        <f>M682*K682*J682</f>
        <v>2017.7640000000001</v>
      </c>
      <c r="Q682" s="8">
        <f>N682*K682*J682</f>
        <v>3665.6046000000006</v>
      </c>
      <c r="R682" s="8">
        <f>O682*K682*J682</f>
        <v>6389.5860000000002</v>
      </c>
    </row>
    <row r="683" spans="1:18" ht="32" x14ac:dyDescent="0.2">
      <c r="A683" s="9" t="s">
        <v>11</v>
      </c>
      <c r="B683" s="10" t="s">
        <v>758</v>
      </c>
      <c r="C683" s="8">
        <v>1</v>
      </c>
      <c r="D683" s="11" t="s">
        <v>36</v>
      </c>
      <c r="E683" s="12">
        <v>1993.05</v>
      </c>
      <c r="F683" s="12">
        <v>1993.05</v>
      </c>
      <c r="G683" s="8">
        <v>50</v>
      </c>
      <c r="H683" s="8">
        <v>50</v>
      </c>
      <c r="I683" s="8">
        <v>50</v>
      </c>
      <c r="J683" s="8">
        <f>0.15*1.2*3.14*2</f>
        <v>1.1304000000000001</v>
      </c>
      <c r="K683" s="8">
        <v>850</v>
      </c>
      <c r="M683" s="8">
        <v>1.2</v>
      </c>
      <c r="N683" s="8">
        <v>2.1800000000000002</v>
      </c>
      <c r="O683" s="8">
        <v>3.8</v>
      </c>
      <c r="P683" s="8">
        <f>M683*K683*J683</f>
        <v>1153.008</v>
      </c>
      <c r="Q683" s="8">
        <f>N683*K683*J683</f>
        <v>2094.6312000000003</v>
      </c>
      <c r="R683" s="8">
        <f>O683*K683*J683</f>
        <v>3651.192</v>
      </c>
    </row>
    <row r="684" spans="1:18" ht="64" x14ac:dyDescent="0.2">
      <c r="A684" s="9" t="s">
        <v>12</v>
      </c>
      <c r="B684" s="10" t="s">
        <v>85</v>
      </c>
      <c r="C684" s="8">
        <v>1</v>
      </c>
      <c r="D684" s="11" t="s">
        <v>36</v>
      </c>
      <c r="E684" s="12">
        <v>1420.52</v>
      </c>
      <c r="F684" s="12">
        <v>1420.52</v>
      </c>
      <c r="G684" s="8">
        <v>50</v>
      </c>
      <c r="H684" s="8">
        <v>50</v>
      </c>
      <c r="I684" s="8">
        <v>50</v>
      </c>
    </row>
    <row r="685" spans="1:18" ht="64" x14ac:dyDescent="0.2">
      <c r="A685" s="9" t="s">
        <v>13</v>
      </c>
      <c r="B685" s="10" t="s">
        <v>86</v>
      </c>
      <c r="C685" s="8">
        <v>1</v>
      </c>
      <c r="D685" s="11" t="s">
        <v>36</v>
      </c>
      <c r="E685" s="12">
        <v>1636.57</v>
      </c>
      <c r="F685" s="12">
        <v>1636.57</v>
      </c>
      <c r="G685" s="8">
        <v>50</v>
      </c>
      <c r="H685" s="8">
        <v>50</v>
      </c>
      <c r="I685" s="8">
        <v>50</v>
      </c>
    </row>
    <row r="686" spans="1:18" ht="80" x14ac:dyDescent="0.2">
      <c r="A686" s="9" t="s">
        <v>6</v>
      </c>
      <c r="B686" s="10" t="s">
        <v>87</v>
      </c>
      <c r="C686" s="8">
        <v>1</v>
      </c>
      <c r="D686" s="11" t="s">
        <v>36</v>
      </c>
      <c r="E686" s="12">
        <v>837.19</v>
      </c>
      <c r="F686" s="12">
        <v>837.19</v>
      </c>
      <c r="G686" s="8">
        <v>35</v>
      </c>
      <c r="H686" s="8">
        <v>53</v>
      </c>
      <c r="I686" s="8">
        <v>70</v>
      </c>
    </row>
    <row r="687" spans="1:18" ht="32" x14ac:dyDescent="0.2">
      <c r="A687" s="9" t="s">
        <v>6</v>
      </c>
      <c r="B687" s="10" t="s">
        <v>759</v>
      </c>
      <c r="C687" s="8">
        <v>4</v>
      </c>
      <c r="D687" s="11" t="s">
        <v>34</v>
      </c>
      <c r="E687" s="12">
        <v>32.409999999999997</v>
      </c>
      <c r="F687" s="12">
        <v>129.63999999999999</v>
      </c>
      <c r="G687" s="8">
        <v>500</v>
      </c>
      <c r="H687" s="8">
        <v>750</v>
      </c>
      <c r="I687" s="8">
        <v>1000</v>
      </c>
      <c r="J687" s="8">
        <f>C687*0.625*0.2</f>
        <v>0.5</v>
      </c>
      <c r="K687" s="13">
        <v>2050</v>
      </c>
      <c r="L687" s="13" t="s">
        <v>108</v>
      </c>
      <c r="M687" s="13">
        <v>0.15</v>
      </c>
      <c r="N687" s="13">
        <v>0.45</v>
      </c>
      <c r="O687" s="13">
        <v>0.73</v>
      </c>
      <c r="P687" s="8">
        <f t="shared" ref="P687:P692" si="231">M687*K687*J687</f>
        <v>153.75</v>
      </c>
      <c r="Q687" s="8">
        <f t="shared" ref="Q687:Q692" si="232">N687*K687*J687</f>
        <v>461.25</v>
      </c>
      <c r="R687" s="8">
        <f t="shared" ref="R687:R692" si="233">O687*K687*J687</f>
        <v>748.25</v>
      </c>
    </row>
    <row r="688" spans="1:18" ht="32" x14ac:dyDescent="0.2">
      <c r="A688" s="9" t="s">
        <v>9</v>
      </c>
      <c r="B688" s="10" t="s">
        <v>760</v>
      </c>
      <c r="C688" s="8">
        <v>29</v>
      </c>
      <c r="D688" s="11" t="s">
        <v>34</v>
      </c>
      <c r="E688" s="12">
        <v>34.57</v>
      </c>
      <c r="F688" s="12">
        <v>1002.53</v>
      </c>
      <c r="G688" s="8">
        <v>500</v>
      </c>
      <c r="H688" s="8">
        <v>750</v>
      </c>
      <c r="I688" s="8">
        <v>1000</v>
      </c>
      <c r="J688" s="8">
        <f>C688*0.875*0.2</f>
        <v>5.0750000000000002</v>
      </c>
      <c r="K688" s="13">
        <v>2050</v>
      </c>
      <c r="L688" s="13" t="s">
        <v>108</v>
      </c>
      <c r="M688" s="13">
        <v>0.15</v>
      </c>
      <c r="N688" s="13">
        <v>0.45</v>
      </c>
      <c r="O688" s="13">
        <v>0.73</v>
      </c>
      <c r="P688" s="8">
        <f t="shared" si="231"/>
        <v>1560.5625</v>
      </c>
      <c r="Q688" s="8">
        <f t="shared" si="232"/>
        <v>4681.6875</v>
      </c>
      <c r="R688" s="8">
        <f t="shared" si="233"/>
        <v>7594.7375000000002</v>
      </c>
    </row>
    <row r="689" spans="1:18" ht="32" x14ac:dyDescent="0.2">
      <c r="A689" s="9" t="s">
        <v>10</v>
      </c>
      <c r="B689" s="10" t="s">
        <v>745</v>
      </c>
      <c r="C689" s="8">
        <v>28</v>
      </c>
      <c r="D689" s="11" t="s">
        <v>34</v>
      </c>
      <c r="E689" s="12">
        <v>38.89</v>
      </c>
      <c r="F689" s="12">
        <v>1088.92</v>
      </c>
      <c r="G689" s="8">
        <v>500</v>
      </c>
      <c r="H689" s="8">
        <v>750</v>
      </c>
      <c r="I689" s="8">
        <v>1000</v>
      </c>
      <c r="J689" s="8">
        <f>C689*1.125*0.2</f>
        <v>6.3000000000000007</v>
      </c>
      <c r="K689" s="13">
        <v>2050</v>
      </c>
      <c r="L689" s="13" t="s">
        <v>108</v>
      </c>
      <c r="M689" s="13">
        <v>0.15</v>
      </c>
      <c r="N689" s="13">
        <v>0.45</v>
      </c>
      <c r="O689" s="13">
        <v>0.73</v>
      </c>
      <c r="P689" s="8">
        <f t="shared" si="231"/>
        <v>1937.2500000000002</v>
      </c>
      <c r="Q689" s="8">
        <f t="shared" si="232"/>
        <v>5811.7500000000009</v>
      </c>
      <c r="R689" s="8">
        <f t="shared" si="233"/>
        <v>9427.9500000000007</v>
      </c>
    </row>
    <row r="690" spans="1:18" ht="32" x14ac:dyDescent="0.2">
      <c r="A690" s="9" t="s">
        <v>11</v>
      </c>
      <c r="B690" s="10" t="s">
        <v>761</v>
      </c>
      <c r="C690" s="8">
        <v>28</v>
      </c>
      <c r="D690" s="11" t="s">
        <v>34</v>
      </c>
      <c r="E690" s="12">
        <v>11.88</v>
      </c>
      <c r="F690" s="12">
        <v>332.64</v>
      </c>
      <c r="G690" s="8">
        <v>500</v>
      </c>
      <c r="H690" s="8">
        <v>750</v>
      </c>
      <c r="I690" s="8">
        <v>1000</v>
      </c>
      <c r="J690" s="8">
        <f>C690*0.1*0.05</f>
        <v>0.14000000000000001</v>
      </c>
      <c r="K690" s="13">
        <v>2240</v>
      </c>
      <c r="L690" s="13" t="s">
        <v>115</v>
      </c>
      <c r="M690" s="13">
        <v>0.05</v>
      </c>
      <c r="N690" s="13">
        <v>8.1000000000000003E-2</v>
      </c>
      <c r="O690" s="13">
        <v>0.15</v>
      </c>
      <c r="P690" s="8">
        <f t="shared" si="231"/>
        <v>15.680000000000001</v>
      </c>
      <c r="Q690" s="8">
        <f t="shared" si="232"/>
        <v>25.401600000000002</v>
      </c>
      <c r="R690" s="8">
        <f t="shared" si="233"/>
        <v>47.040000000000006</v>
      </c>
    </row>
    <row r="691" spans="1:18" ht="32" x14ac:dyDescent="0.2">
      <c r="A691" s="9" t="s">
        <v>12</v>
      </c>
      <c r="B691" s="10" t="s">
        <v>761</v>
      </c>
      <c r="C691" s="8">
        <v>34</v>
      </c>
      <c r="D691" s="11" t="s">
        <v>34</v>
      </c>
      <c r="E691" s="12">
        <v>25.93</v>
      </c>
      <c r="F691" s="12">
        <v>881.62</v>
      </c>
      <c r="G691" s="8">
        <v>500</v>
      </c>
      <c r="H691" s="8">
        <v>750</v>
      </c>
      <c r="I691" s="8">
        <v>1000</v>
      </c>
      <c r="J691" s="8">
        <f>C691*0.1*0.05</f>
        <v>0.17000000000000004</v>
      </c>
      <c r="K691" s="13">
        <v>2240</v>
      </c>
      <c r="L691" s="13" t="s">
        <v>115</v>
      </c>
      <c r="M691" s="13">
        <f>67.5*0.7</f>
        <v>47.25</v>
      </c>
      <c r="N691" s="13">
        <v>67.5</v>
      </c>
      <c r="O691" s="13">
        <f>67.5*1.3</f>
        <v>87.75</v>
      </c>
      <c r="P691" s="8">
        <f t="shared" si="231"/>
        <v>17992.800000000003</v>
      </c>
      <c r="Q691" s="8">
        <f t="shared" si="232"/>
        <v>25704.000000000007</v>
      </c>
      <c r="R691" s="8">
        <f t="shared" si="233"/>
        <v>33415.200000000004</v>
      </c>
    </row>
    <row r="692" spans="1:18" ht="16" x14ac:dyDescent="0.2">
      <c r="A692" s="9" t="s">
        <v>13</v>
      </c>
      <c r="B692" s="10" t="s">
        <v>762</v>
      </c>
      <c r="C692" s="8">
        <v>62</v>
      </c>
      <c r="D692" s="11" t="s">
        <v>34</v>
      </c>
      <c r="E692" s="12">
        <v>11.88</v>
      </c>
      <c r="F692" s="12">
        <v>736.56</v>
      </c>
      <c r="G692" s="8">
        <v>35</v>
      </c>
      <c r="H692" s="8">
        <v>53</v>
      </c>
      <c r="I692" s="8">
        <v>70</v>
      </c>
      <c r="J692" s="8">
        <f>C692*0.1*3.14*0.0032</f>
        <v>6.2297600000000002E-2</v>
      </c>
      <c r="K692" s="13">
        <v>37</v>
      </c>
      <c r="L692" s="13" t="s">
        <v>146</v>
      </c>
      <c r="M692" s="13">
        <f>67.5*0.7</f>
        <v>47.25</v>
      </c>
      <c r="N692" s="13">
        <v>67.5</v>
      </c>
      <c r="O692" s="13">
        <f>67.5*1.3</f>
        <v>87.75</v>
      </c>
      <c r="P692" s="8">
        <f t="shared" si="231"/>
        <v>108.9117792</v>
      </c>
      <c r="Q692" s="8">
        <f t="shared" si="232"/>
        <v>155.588256</v>
      </c>
      <c r="R692" s="8">
        <f t="shared" si="233"/>
        <v>202.26473280000002</v>
      </c>
    </row>
    <row r="693" spans="1:18" ht="16" x14ac:dyDescent="0.2">
      <c r="A693" s="9" t="s">
        <v>14</v>
      </c>
      <c r="B693" s="10" t="s">
        <v>737</v>
      </c>
      <c r="C693" s="8">
        <v>11</v>
      </c>
      <c r="D693" s="11" t="s">
        <v>36</v>
      </c>
      <c r="E693" s="12">
        <v>30.25</v>
      </c>
      <c r="F693" s="12">
        <v>332.75</v>
      </c>
      <c r="G693" s="8">
        <v>35</v>
      </c>
      <c r="H693" s="8">
        <v>53</v>
      </c>
      <c r="I693" s="8">
        <v>70</v>
      </c>
    </row>
    <row r="694" spans="1:18" ht="32" x14ac:dyDescent="0.2">
      <c r="A694" s="9" t="s">
        <v>15</v>
      </c>
      <c r="B694" s="10" t="s">
        <v>738</v>
      </c>
      <c r="C694" s="8">
        <v>16</v>
      </c>
      <c r="D694" s="11" t="s">
        <v>36</v>
      </c>
      <c r="E694" s="12">
        <v>30.25</v>
      </c>
      <c r="F694" s="12">
        <v>484</v>
      </c>
      <c r="G694" s="8">
        <v>35</v>
      </c>
      <c r="H694" s="8">
        <v>53</v>
      </c>
      <c r="I694" s="8">
        <v>70</v>
      </c>
    </row>
    <row r="695" spans="1:18" ht="48" x14ac:dyDescent="0.2">
      <c r="A695" s="9" t="s">
        <v>16</v>
      </c>
      <c r="B695" s="10" t="s">
        <v>763</v>
      </c>
      <c r="C695" s="8">
        <v>1</v>
      </c>
      <c r="D695" s="11" t="s">
        <v>36</v>
      </c>
      <c r="E695" s="12">
        <v>237.65</v>
      </c>
      <c r="F695" s="12">
        <v>237.65</v>
      </c>
      <c r="G695" s="8">
        <v>35</v>
      </c>
      <c r="H695" s="8">
        <v>53</v>
      </c>
      <c r="I695" s="8">
        <v>70</v>
      </c>
    </row>
    <row r="696" spans="1:18" ht="32" x14ac:dyDescent="0.2">
      <c r="A696" s="9" t="s">
        <v>17</v>
      </c>
      <c r="B696" s="10" t="s">
        <v>741</v>
      </c>
      <c r="C696" s="8">
        <v>62</v>
      </c>
      <c r="D696" s="11" t="s">
        <v>34</v>
      </c>
      <c r="E696" s="12">
        <v>1.08</v>
      </c>
      <c r="F696" s="12">
        <v>66.959999999999994</v>
      </c>
      <c r="G696" s="8">
        <v>1</v>
      </c>
      <c r="H696" s="8">
        <v>1</v>
      </c>
      <c r="I696" s="8">
        <v>1</v>
      </c>
    </row>
    <row r="697" spans="1:18" ht="16" x14ac:dyDescent="0.2">
      <c r="A697" s="9" t="s">
        <v>18</v>
      </c>
      <c r="B697" s="10" t="s">
        <v>88</v>
      </c>
      <c r="C697" s="8">
        <v>3</v>
      </c>
      <c r="D697" s="11" t="s">
        <v>36</v>
      </c>
      <c r="E697" s="12">
        <v>394.29</v>
      </c>
      <c r="F697" s="12">
        <v>1182.8699999999999</v>
      </c>
      <c r="G697" s="8">
        <v>50</v>
      </c>
      <c r="H697" s="8">
        <v>50</v>
      </c>
      <c r="I697" s="8">
        <v>50</v>
      </c>
    </row>
    <row r="698" spans="1:18" ht="16" x14ac:dyDescent="0.2">
      <c r="A698" s="9" t="s">
        <v>19</v>
      </c>
      <c r="B698" s="10" t="s">
        <v>89</v>
      </c>
      <c r="C698" s="8">
        <v>5</v>
      </c>
      <c r="D698" s="11" t="s">
        <v>36</v>
      </c>
      <c r="E698" s="12">
        <v>480.71</v>
      </c>
      <c r="F698" s="12">
        <v>2403.5500000000002</v>
      </c>
      <c r="G698" s="8">
        <v>50</v>
      </c>
      <c r="H698" s="8">
        <v>50</v>
      </c>
      <c r="I698" s="8">
        <v>50</v>
      </c>
    </row>
    <row r="699" spans="1:18" ht="16" x14ac:dyDescent="0.2">
      <c r="A699" s="9" t="s">
        <v>6</v>
      </c>
      <c r="B699" s="10" t="s">
        <v>764</v>
      </c>
      <c r="C699" s="8">
        <v>1</v>
      </c>
      <c r="D699" s="11" t="s">
        <v>7</v>
      </c>
      <c r="E699" s="12">
        <v>810.18</v>
      </c>
      <c r="F699" s="12">
        <v>810.18</v>
      </c>
      <c r="G699" s="8">
        <v>1</v>
      </c>
      <c r="H699" s="8">
        <v>1</v>
      </c>
      <c r="I699" s="8">
        <v>1</v>
      </c>
    </row>
    <row r="700" spans="1:18" ht="16" x14ac:dyDescent="0.2">
      <c r="A700" s="9" t="s">
        <v>9</v>
      </c>
      <c r="B700" s="10" t="s">
        <v>765</v>
      </c>
      <c r="C700" s="8">
        <v>1</v>
      </c>
      <c r="D700" s="11" t="s">
        <v>7</v>
      </c>
      <c r="E700" s="12">
        <v>378.08</v>
      </c>
      <c r="F700" s="12">
        <v>378.08</v>
      </c>
      <c r="G700" s="8">
        <v>1</v>
      </c>
      <c r="H700" s="8">
        <v>1</v>
      </c>
      <c r="I700" s="8">
        <v>1</v>
      </c>
    </row>
    <row r="701" spans="1:18" ht="16" x14ac:dyDescent="0.2">
      <c r="A701" s="9" t="s">
        <v>10</v>
      </c>
      <c r="B701" s="10" t="s">
        <v>766</v>
      </c>
      <c r="C701" s="8">
        <v>1</v>
      </c>
      <c r="D701" s="11" t="s">
        <v>7</v>
      </c>
      <c r="E701" s="12">
        <v>324.07</v>
      </c>
      <c r="F701" s="12">
        <v>324.07</v>
      </c>
      <c r="G701" s="8">
        <v>1</v>
      </c>
      <c r="H701" s="8">
        <v>1</v>
      </c>
      <c r="I701" s="8">
        <v>1</v>
      </c>
    </row>
    <row r="702" spans="1:18" ht="16" x14ac:dyDescent="0.2">
      <c r="A702" s="9" t="s">
        <v>11</v>
      </c>
      <c r="B702" s="10" t="s">
        <v>767</v>
      </c>
      <c r="C702" s="8">
        <v>1</v>
      </c>
      <c r="D702" s="11" t="s">
        <v>7</v>
      </c>
      <c r="E702" s="12">
        <v>270.06</v>
      </c>
      <c r="F702" s="12">
        <v>270.06</v>
      </c>
      <c r="G702" s="8">
        <v>1</v>
      </c>
      <c r="H702" s="8">
        <v>1</v>
      </c>
      <c r="I702" s="8">
        <v>1</v>
      </c>
    </row>
    <row r="703" spans="1:18" ht="16" x14ac:dyDescent="0.2">
      <c r="A703" s="9" t="s">
        <v>12</v>
      </c>
      <c r="B703" s="10" t="s">
        <v>768</v>
      </c>
      <c r="C703" s="8">
        <v>1</v>
      </c>
      <c r="D703" s="11" t="s">
        <v>7</v>
      </c>
      <c r="E703" s="12">
        <v>194.44</v>
      </c>
      <c r="F703" s="12">
        <v>194.44</v>
      </c>
      <c r="G703" s="8">
        <v>1</v>
      </c>
      <c r="H703" s="8">
        <v>1</v>
      </c>
      <c r="I703" s="8">
        <v>1</v>
      </c>
    </row>
    <row r="704" spans="1:18" ht="32" x14ac:dyDescent="0.2">
      <c r="A704" s="9" t="s">
        <v>6</v>
      </c>
      <c r="B704" s="10" t="s">
        <v>769</v>
      </c>
      <c r="C704" s="8">
        <v>1</v>
      </c>
      <c r="D704" s="11" t="s">
        <v>7</v>
      </c>
      <c r="E704" s="12">
        <v>216.05</v>
      </c>
      <c r="F704" s="12">
        <v>216.05</v>
      </c>
      <c r="G704" s="8">
        <v>1</v>
      </c>
      <c r="H704" s="8">
        <v>1</v>
      </c>
      <c r="I704" s="8">
        <v>1</v>
      </c>
    </row>
    <row r="705" spans="1:18" ht="16" x14ac:dyDescent="0.2">
      <c r="A705" s="9" t="s">
        <v>9</v>
      </c>
      <c r="B705" s="10" t="s">
        <v>770</v>
      </c>
      <c r="C705" s="8">
        <v>1</v>
      </c>
      <c r="D705" s="11" t="s">
        <v>7</v>
      </c>
      <c r="E705" s="12">
        <v>216.05</v>
      </c>
      <c r="F705" s="12">
        <v>216.05</v>
      </c>
      <c r="G705" s="8">
        <v>1</v>
      </c>
      <c r="H705" s="8">
        <v>1</v>
      </c>
      <c r="I705" s="8">
        <v>1</v>
      </c>
    </row>
    <row r="706" spans="1:18" ht="64" x14ac:dyDescent="0.2">
      <c r="A706" s="9" t="s">
        <v>6</v>
      </c>
      <c r="B706" s="10" t="s">
        <v>771</v>
      </c>
      <c r="C706" s="8">
        <v>35</v>
      </c>
      <c r="D706" s="11" t="s">
        <v>34</v>
      </c>
      <c r="E706" s="12">
        <v>156.63999999999999</v>
      </c>
      <c r="F706" s="12">
        <v>5482.4</v>
      </c>
      <c r="G706" s="8">
        <v>50</v>
      </c>
      <c r="H706" s="8">
        <v>60</v>
      </c>
      <c r="I706" s="8">
        <v>70</v>
      </c>
      <c r="J706" s="8" t="s">
        <v>104</v>
      </c>
    </row>
    <row r="707" spans="1:18" ht="16" x14ac:dyDescent="0.2">
      <c r="A707" s="9" t="s">
        <v>9</v>
      </c>
      <c r="B707" s="10" t="s">
        <v>772</v>
      </c>
      <c r="C707" s="8">
        <v>26</v>
      </c>
      <c r="D707" s="11" t="s">
        <v>36</v>
      </c>
      <c r="E707" s="12">
        <v>27.01</v>
      </c>
      <c r="F707" s="12">
        <v>702.26</v>
      </c>
      <c r="G707" s="8">
        <v>50</v>
      </c>
      <c r="H707" s="8">
        <v>60</v>
      </c>
      <c r="I707" s="8">
        <v>70</v>
      </c>
    </row>
    <row r="708" spans="1:18" ht="32" x14ac:dyDescent="0.2">
      <c r="A708" s="9" t="s">
        <v>10</v>
      </c>
      <c r="B708" s="10" t="s">
        <v>773</v>
      </c>
      <c r="C708" s="8">
        <v>13</v>
      </c>
      <c r="D708" s="11" t="s">
        <v>36</v>
      </c>
      <c r="E708" s="12">
        <v>41.05</v>
      </c>
      <c r="F708" s="12">
        <v>533.65</v>
      </c>
      <c r="G708" s="8">
        <v>50</v>
      </c>
      <c r="H708" s="8">
        <v>60</v>
      </c>
      <c r="I708" s="8">
        <v>70</v>
      </c>
    </row>
    <row r="709" spans="1:18" ht="48" x14ac:dyDescent="0.2">
      <c r="A709" s="9" t="s">
        <v>11</v>
      </c>
      <c r="B709" s="10" t="s">
        <v>774</v>
      </c>
      <c r="C709" s="8">
        <v>49</v>
      </c>
      <c r="D709" s="11" t="s">
        <v>34</v>
      </c>
      <c r="E709" s="12">
        <v>73.459999999999994</v>
      </c>
      <c r="F709" s="12">
        <v>3599.54</v>
      </c>
      <c r="G709" s="8">
        <v>50</v>
      </c>
      <c r="H709" s="8">
        <v>60</v>
      </c>
      <c r="I709" s="8">
        <v>70</v>
      </c>
    </row>
    <row r="710" spans="1:18" ht="48" x14ac:dyDescent="0.2">
      <c r="A710" s="9" t="s">
        <v>12</v>
      </c>
      <c r="B710" s="10" t="s">
        <v>775</v>
      </c>
      <c r="C710" s="8">
        <v>229</v>
      </c>
      <c r="D710" s="11" t="s">
        <v>34</v>
      </c>
      <c r="E710" s="12">
        <v>34.57</v>
      </c>
      <c r="F710" s="12">
        <v>7916.53</v>
      </c>
      <c r="G710" s="8">
        <v>500</v>
      </c>
      <c r="H710" s="8">
        <v>750</v>
      </c>
      <c r="I710" s="8">
        <v>1000</v>
      </c>
      <c r="J710" s="8">
        <f>C710*0.2*0.875</f>
        <v>40.075000000000003</v>
      </c>
      <c r="K710" s="13">
        <v>2050</v>
      </c>
      <c r="L710" s="13" t="s">
        <v>108</v>
      </c>
      <c r="M710" s="13">
        <v>0.15</v>
      </c>
      <c r="N710" s="13">
        <v>0.45</v>
      </c>
      <c r="O710" s="13">
        <v>0.73</v>
      </c>
      <c r="P710" s="8">
        <f t="shared" ref="P710:P720" si="234">M710*K710*J710</f>
        <v>12323.0625</v>
      </c>
      <c r="Q710" s="8">
        <f t="shared" ref="Q710:Q720" si="235">N710*K710*J710</f>
        <v>36969.1875</v>
      </c>
      <c r="R710" s="8">
        <f t="shared" ref="R710:R720" si="236">O710*K710*J710</f>
        <v>59972.237500000003</v>
      </c>
    </row>
    <row r="711" spans="1:18" ht="48" x14ac:dyDescent="0.2">
      <c r="A711" s="9" t="s">
        <v>13</v>
      </c>
      <c r="B711" s="10" t="s">
        <v>776</v>
      </c>
      <c r="C711" s="8">
        <v>23</v>
      </c>
      <c r="D711" s="11" t="s">
        <v>34</v>
      </c>
      <c r="E711" s="12">
        <v>38.89</v>
      </c>
      <c r="F711" s="12">
        <v>894.47</v>
      </c>
      <c r="G711" s="8">
        <v>500</v>
      </c>
      <c r="H711" s="8">
        <v>750</v>
      </c>
      <c r="I711" s="8">
        <v>1000</v>
      </c>
      <c r="J711" s="8">
        <f>C711*0.2*1.125</f>
        <v>5.1750000000000007</v>
      </c>
      <c r="K711" s="13">
        <v>2050</v>
      </c>
      <c r="L711" s="13" t="s">
        <v>108</v>
      </c>
      <c r="M711" s="13">
        <v>0.15</v>
      </c>
      <c r="N711" s="13">
        <v>0.45</v>
      </c>
      <c r="O711" s="13">
        <v>0.73</v>
      </c>
      <c r="P711" s="8">
        <f t="shared" si="234"/>
        <v>1591.3125000000002</v>
      </c>
      <c r="Q711" s="8">
        <f t="shared" si="235"/>
        <v>4773.9375000000009</v>
      </c>
      <c r="R711" s="8">
        <f t="shared" si="236"/>
        <v>7744.3875000000007</v>
      </c>
    </row>
    <row r="712" spans="1:18" ht="48" x14ac:dyDescent="0.2">
      <c r="A712" s="9" t="s">
        <v>14</v>
      </c>
      <c r="B712" s="10" t="s">
        <v>777</v>
      </c>
      <c r="C712" s="8">
        <v>68</v>
      </c>
      <c r="D712" s="11" t="s">
        <v>34</v>
      </c>
      <c r="E712" s="12">
        <v>42.13</v>
      </c>
      <c r="F712" s="12">
        <v>2864.84</v>
      </c>
      <c r="G712" s="8">
        <v>500</v>
      </c>
      <c r="H712" s="8">
        <v>750</v>
      </c>
      <c r="I712" s="8">
        <v>1000</v>
      </c>
      <c r="J712" s="8">
        <f>C712*1.375*0.2</f>
        <v>18.7</v>
      </c>
      <c r="K712" s="13">
        <v>2050</v>
      </c>
      <c r="L712" s="13" t="s">
        <v>108</v>
      </c>
      <c r="M712" s="13">
        <v>0.15</v>
      </c>
      <c r="N712" s="13">
        <v>0.45</v>
      </c>
      <c r="O712" s="13">
        <v>0.73</v>
      </c>
      <c r="P712" s="8">
        <f t="shared" si="234"/>
        <v>5750.25</v>
      </c>
      <c r="Q712" s="8">
        <f t="shared" si="235"/>
        <v>17250.75</v>
      </c>
      <c r="R712" s="8">
        <f t="shared" si="236"/>
        <v>27984.55</v>
      </c>
    </row>
    <row r="713" spans="1:18" ht="48" x14ac:dyDescent="0.2">
      <c r="A713" s="9" t="s">
        <v>15</v>
      </c>
      <c r="B713" s="10" t="s">
        <v>778</v>
      </c>
      <c r="C713" s="8">
        <v>21</v>
      </c>
      <c r="D713" s="11" t="s">
        <v>34</v>
      </c>
      <c r="E713" s="12">
        <v>51.85</v>
      </c>
      <c r="F713" s="12">
        <v>1088.8499999999999</v>
      </c>
      <c r="G713" s="8">
        <v>500</v>
      </c>
      <c r="H713" s="8">
        <v>750</v>
      </c>
      <c r="I713" s="8">
        <v>1000</v>
      </c>
      <c r="J713" s="8">
        <f>C713*1.375*0.225</f>
        <v>6.4968750000000002</v>
      </c>
      <c r="K713" s="13">
        <v>2050</v>
      </c>
      <c r="L713" s="13" t="s">
        <v>108</v>
      </c>
      <c r="M713" s="13">
        <v>0.15</v>
      </c>
      <c r="N713" s="13">
        <v>0.45</v>
      </c>
      <c r="O713" s="13">
        <v>0.73</v>
      </c>
      <c r="P713" s="8">
        <f t="shared" si="234"/>
        <v>1997.7890625</v>
      </c>
      <c r="Q713" s="8">
        <f t="shared" si="235"/>
        <v>5993.3671875</v>
      </c>
      <c r="R713" s="8">
        <f t="shared" si="236"/>
        <v>9722.5734375000011</v>
      </c>
    </row>
    <row r="714" spans="1:18" ht="48" x14ac:dyDescent="0.2">
      <c r="A714" s="9" t="s">
        <v>16</v>
      </c>
      <c r="B714" s="10" t="s">
        <v>779</v>
      </c>
      <c r="C714" s="8">
        <v>68</v>
      </c>
      <c r="D714" s="11" t="s">
        <v>34</v>
      </c>
      <c r="E714" s="12">
        <v>56.17</v>
      </c>
      <c r="F714" s="12">
        <v>3819.56</v>
      </c>
      <c r="G714" s="8">
        <v>500</v>
      </c>
      <c r="H714" s="8">
        <v>750</v>
      </c>
      <c r="I714" s="8">
        <v>1000</v>
      </c>
      <c r="J714" s="8">
        <f>C714*0.225*1.625</f>
        <v>24.862500000000001</v>
      </c>
      <c r="K714" s="13">
        <v>2050</v>
      </c>
      <c r="L714" s="13" t="s">
        <v>108</v>
      </c>
      <c r="M714" s="13">
        <v>0.15</v>
      </c>
      <c r="N714" s="13">
        <v>0.45</v>
      </c>
      <c r="O714" s="13">
        <v>0.73</v>
      </c>
      <c r="P714" s="8">
        <f t="shared" si="234"/>
        <v>7645.21875</v>
      </c>
      <c r="Q714" s="8">
        <f t="shared" si="235"/>
        <v>22935.65625</v>
      </c>
      <c r="R714" s="8">
        <f t="shared" si="236"/>
        <v>37206.731250000004</v>
      </c>
    </row>
    <row r="715" spans="1:18" ht="48" x14ac:dyDescent="0.2">
      <c r="A715" s="9" t="s">
        <v>17</v>
      </c>
      <c r="B715" s="10" t="s">
        <v>780</v>
      </c>
      <c r="C715" s="8">
        <v>4</v>
      </c>
      <c r="D715" s="11" t="s">
        <v>34</v>
      </c>
      <c r="E715" s="12">
        <v>57.25</v>
      </c>
      <c r="F715" s="12">
        <v>229</v>
      </c>
      <c r="G715" s="8">
        <v>500</v>
      </c>
      <c r="H715" s="8">
        <v>750</v>
      </c>
      <c r="I715" s="8">
        <v>1000</v>
      </c>
      <c r="J715" s="8">
        <f>C715*0.3*1.375</f>
        <v>1.65</v>
      </c>
      <c r="K715" s="13">
        <v>2050</v>
      </c>
      <c r="L715" s="13" t="s">
        <v>108</v>
      </c>
      <c r="M715" s="13">
        <v>0.15</v>
      </c>
      <c r="N715" s="13">
        <v>0.45</v>
      </c>
      <c r="O715" s="13">
        <v>0.73</v>
      </c>
      <c r="P715" s="8">
        <f t="shared" si="234"/>
        <v>507.375</v>
      </c>
      <c r="Q715" s="8">
        <f t="shared" si="235"/>
        <v>1522.125</v>
      </c>
      <c r="R715" s="8">
        <f t="shared" si="236"/>
        <v>2469.2249999999999</v>
      </c>
    </row>
    <row r="716" spans="1:18" ht="48" x14ac:dyDescent="0.2">
      <c r="A716" s="9" t="s">
        <v>18</v>
      </c>
      <c r="B716" s="10" t="s">
        <v>781</v>
      </c>
      <c r="C716" s="8">
        <v>12</v>
      </c>
      <c r="D716" s="11" t="s">
        <v>34</v>
      </c>
      <c r="E716" s="12">
        <v>62.65</v>
      </c>
      <c r="F716" s="12">
        <v>751.8</v>
      </c>
      <c r="G716" s="8">
        <v>500</v>
      </c>
      <c r="H716" s="8">
        <v>750</v>
      </c>
      <c r="I716" s="8">
        <v>100</v>
      </c>
      <c r="J716" s="8">
        <f>C716*0.3*1.625</f>
        <v>5.85</v>
      </c>
      <c r="K716" s="13">
        <v>2050</v>
      </c>
      <c r="L716" s="13" t="s">
        <v>108</v>
      </c>
      <c r="M716" s="13">
        <v>0.15</v>
      </c>
      <c r="N716" s="13">
        <v>0.45</v>
      </c>
      <c r="O716" s="13">
        <v>0.73</v>
      </c>
      <c r="P716" s="8">
        <f t="shared" si="234"/>
        <v>1798.875</v>
      </c>
      <c r="Q716" s="8">
        <f t="shared" si="235"/>
        <v>5396.625</v>
      </c>
      <c r="R716" s="8">
        <f t="shared" si="236"/>
        <v>8754.5249999999996</v>
      </c>
    </row>
    <row r="717" spans="1:18" ht="32" x14ac:dyDescent="0.2">
      <c r="A717" s="9" t="s">
        <v>19</v>
      </c>
      <c r="B717" s="10" t="s">
        <v>782</v>
      </c>
      <c r="C717" s="8">
        <v>7</v>
      </c>
      <c r="D717" s="11" t="s">
        <v>34</v>
      </c>
      <c r="E717" s="12">
        <v>11.88</v>
      </c>
      <c r="F717" s="12">
        <v>83.16</v>
      </c>
      <c r="G717" s="8">
        <v>500</v>
      </c>
      <c r="H717" s="8">
        <v>750</v>
      </c>
      <c r="I717" s="8">
        <v>1000</v>
      </c>
      <c r="J717" s="8">
        <f>C717*0.05*0.1</f>
        <v>3.5000000000000003E-2</v>
      </c>
      <c r="K717" s="13">
        <v>2240</v>
      </c>
      <c r="L717" s="13" t="s">
        <v>115</v>
      </c>
      <c r="M717" s="13">
        <v>0.05</v>
      </c>
      <c r="N717" s="13">
        <v>8.1000000000000003E-2</v>
      </c>
      <c r="O717" s="13">
        <v>0.15</v>
      </c>
      <c r="P717" s="8">
        <f t="shared" si="234"/>
        <v>3.9200000000000004</v>
      </c>
      <c r="Q717" s="8">
        <f t="shared" si="235"/>
        <v>6.3504000000000005</v>
      </c>
      <c r="R717" s="8">
        <f t="shared" si="236"/>
        <v>11.760000000000002</v>
      </c>
    </row>
    <row r="718" spans="1:18" ht="32" x14ac:dyDescent="0.2">
      <c r="A718" s="9" t="s">
        <v>20</v>
      </c>
      <c r="B718" s="10" t="s">
        <v>783</v>
      </c>
      <c r="C718" s="8">
        <v>83</v>
      </c>
      <c r="D718" s="11" t="s">
        <v>34</v>
      </c>
      <c r="E718" s="12">
        <v>14.04</v>
      </c>
      <c r="F718" s="12">
        <v>1165.32</v>
      </c>
      <c r="G718" s="8">
        <v>500</v>
      </c>
      <c r="H718" s="8">
        <v>750</v>
      </c>
      <c r="I718" s="8">
        <v>1000</v>
      </c>
      <c r="J718" s="8">
        <f>C718*0.15*0.05</f>
        <v>0.62250000000000005</v>
      </c>
      <c r="K718" s="13">
        <v>2240</v>
      </c>
      <c r="L718" s="13" t="s">
        <v>115</v>
      </c>
      <c r="M718" s="13">
        <v>0.05</v>
      </c>
      <c r="N718" s="13">
        <v>8.1000000000000003E-2</v>
      </c>
      <c r="O718" s="13">
        <v>0.15</v>
      </c>
      <c r="P718" s="8">
        <f t="shared" si="234"/>
        <v>69.72</v>
      </c>
      <c r="Q718" s="8">
        <f t="shared" si="235"/>
        <v>112.94640000000001</v>
      </c>
      <c r="R718" s="8">
        <f t="shared" si="236"/>
        <v>209.16000000000003</v>
      </c>
    </row>
    <row r="719" spans="1:18" ht="32" x14ac:dyDescent="0.2">
      <c r="A719" s="9" t="s">
        <v>21</v>
      </c>
      <c r="B719" s="10" t="s">
        <v>784</v>
      </c>
      <c r="C719" s="8">
        <v>89</v>
      </c>
      <c r="D719" s="11" t="s">
        <v>34</v>
      </c>
      <c r="E719" s="12">
        <v>16.2</v>
      </c>
      <c r="F719" s="12">
        <v>1441.8</v>
      </c>
      <c r="G719" s="8">
        <v>500</v>
      </c>
      <c r="H719" s="8">
        <v>750</v>
      </c>
      <c r="I719" s="8">
        <v>1000</v>
      </c>
      <c r="J719" s="8">
        <f>C719*0.225*0.05</f>
        <v>1.0012500000000002</v>
      </c>
      <c r="K719" s="13">
        <v>2240</v>
      </c>
      <c r="L719" s="13" t="s">
        <v>115</v>
      </c>
      <c r="M719" s="13">
        <v>0.05</v>
      </c>
      <c r="N719" s="13">
        <v>8.1000000000000003E-2</v>
      </c>
      <c r="O719" s="13">
        <v>0.15</v>
      </c>
      <c r="P719" s="8">
        <f t="shared" si="234"/>
        <v>112.14000000000001</v>
      </c>
      <c r="Q719" s="8">
        <f t="shared" si="235"/>
        <v>181.66680000000002</v>
      </c>
      <c r="R719" s="8">
        <f t="shared" si="236"/>
        <v>336.42000000000007</v>
      </c>
    </row>
    <row r="720" spans="1:18" ht="32" x14ac:dyDescent="0.2">
      <c r="A720" s="9" t="s">
        <v>22</v>
      </c>
      <c r="B720" s="10" t="s">
        <v>785</v>
      </c>
      <c r="C720" s="8">
        <v>16</v>
      </c>
      <c r="D720" s="11" t="s">
        <v>34</v>
      </c>
      <c r="E720" s="12">
        <v>20.52</v>
      </c>
      <c r="F720" s="12">
        <v>328.32</v>
      </c>
      <c r="G720" s="8">
        <v>500</v>
      </c>
      <c r="H720" s="8">
        <v>750</v>
      </c>
      <c r="I720" s="8">
        <v>1000</v>
      </c>
      <c r="J720" s="8">
        <f>C720*0.3*0.05</f>
        <v>0.24</v>
      </c>
      <c r="K720" s="13">
        <v>2240</v>
      </c>
      <c r="L720" s="13" t="s">
        <v>115</v>
      </c>
      <c r="M720" s="13">
        <v>0.05</v>
      </c>
      <c r="N720" s="13">
        <v>8.1000000000000003E-2</v>
      </c>
      <c r="O720" s="13">
        <v>0.15</v>
      </c>
      <c r="P720" s="8">
        <f t="shared" si="234"/>
        <v>26.88</v>
      </c>
      <c r="Q720" s="8">
        <f t="shared" si="235"/>
        <v>43.5456</v>
      </c>
      <c r="R720" s="8">
        <f t="shared" si="236"/>
        <v>80.64</v>
      </c>
    </row>
    <row r="721" spans="1:18" ht="32" x14ac:dyDescent="0.2">
      <c r="A721" s="9" t="s">
        <v>6</v>
      </c>
      <c r="B721" s="10" t="s">
        <v>786</v>
      </c>
      <c r="C721" s="8">
        <v>194</v>
      </c>
      <c r="D721" s="11" t="s">
        <v>34</v>
      </c>
      <c r="E721" s="12">
        <v>25.93</v>
      </c>
      <c r="F721" s="12">
        <v>5030.42</v>
      </c>
      <c r="G721" s="8">
        <v>500</v>
      </c>
      <c r="H721" s="8">
        <v>750</v>
      </c>
      <c r="I721" s="8">
        <v>1000</v>
      </c>
    </row>
    <row r="722" spans="1:18" ht="32" x14ac:dyDescent="0.2">
      <c r="A722" s="9" t="s">
        <v>9</v>
      </c>
      <c r="B722" s="10" t="s">
        <v>787</v>
      </c>
      <c r="C722" s="8">
        <v>34</v>
      </c>
      <c r="D722" s="11" t="s">
        <v>34</v>
      </c>
      <c r="E722" s="12">
        <v>28.09</v>
      </c>
      <c r="F722" s="12">
        <v>955.06</v>
      </c>
      <c r="G722" s="8">
        <v>500</v>
      </c>
      <c r="H722" s="8">
        <v>750</v>
      </c>
      <c r="I722" s="8">
        <v>1000</v>
      </c>
    </row>
    <row r="723" spans="1:18" ht="32" x14ac:dyDescent="0.2">
      <c r="A723" s="9" t="s">
        <v>10</v>
      </c>
      <c r="B723" s="10" t="s">
        <v>788</v>
      </c>
      <c r="C723" s="8">
        <v>202</v>
      </c>
      <c r="D723" s="11" t="s">
        <v>34</v>
      </c>
      <c r="E723" s="12">
        <v>11.88</v>
      </c>
      <c r="F723" s="12">
        <v>2399.7600000000002</v>
      </c>
      <c r="G723" s="8">
        <v>35</v>
      </c>
      <c r="H723" s="8">
        <v>53</v>
      </c>
      <c r="I723" s="8">
        <v>70</v>
      </c>
      <c r="J723" s="8">
        <f>C723*0.1*3.14*0.0032</f>
        <v>0.20296960000000006</v>
      </c>
      <c r="K723" s="13">
        <v>37</v>
      </c>
      <c r="L723" s="13" t="s">
        <v>146</v>
      </c>
      <c r="M723" s="13">
        <v>47.25</v>
      </c>
      <c r="N723" s="13">
        <v>67.5</v>
      </c>
      <c r="O723" s="13">
        <v>87.75</v>
      </c>
      <c r="P723" s="8">
        <f>M723*K723*J723</f>
        <v>354.84160320000012</v>
      </c>
      <c r="Q723" s="8">
        <f>N723*K723*J723</f>
        <v>506.91657600000013</v>
      </c>
      <c r="R723" s="8">
        <f>O723*K723*J723</f>
        <v>658.99154880000015</v>
      </c>
    </row>
    <row r="724" spans="1:18" ht="32" x14ac:dyDescent="0.2">
      <c r="A724" s="9" t="s">
        <v>11</v>
      </c>
      <c r="B724" s="10" t="s">
        <v>789</v>
      </c>
      <c r="C724" s="8">
        <v>117</v>
      </c>
      <c r="D724" s="11" t="s">
        <v>34</v>
      </c>
      <c r="E724" s="12">
        <v>14.04</v>
      </c>
      <c r="F724" s="12">
        <v>1642.68</v>
      </c>
      <c r="G724" s="8">
        <v>35</v>
      </c>
      <c r="H724" s="8">
        <v>53</v>
      </c>
      <c r="I724" s="8">
        <v>70</v>
      </c>
      <c r="J724" s="8">
        <f>C724*0.15*3.14*0.0032</f>
        <v>0.17634240000000004</v>
      </c>
      <c r="K724" s="13">
        <v>37</v>
      </c>
      <c r="L724" s="13" t="s">
        <v>146</v>
      </c>
      <c r="M724" s="13">
        <v>47.25</v>
      </c>
      <c r="N724" s="13">
        <v>67.5</v>
      </c>
      <c r="O724" s="13">
        <v>87.75</v>
      </c>
      <c r="P724" s="8">
        <f>M724*K724*J724</f>
        <v>308.29060080000005</v>
      </c>
      <c r="Q724" s="8">
        <f>N724*K724*J724</f>
        <v>440.41514400000011</v>
      </c>
      <c r="R724" s="8">
        <f>O724*K724*J724</f>
        <v>572.53968720000012</v>
      </c>
    </row>
    <row r="725" spans="1:18" ht="32" x14ac:dyDescent="0.2">
      <c r="A725" s="9" t="s">
        <v>12</v>
      </c>
      <c r="B725" s="10" t="s">
        <v>790</v>
      </c>
      <c r="C725" s="8">
        <v>89</v>
      </c>
      <c r="D725" s="11" t="s">
        <v>34</v>
      </c>
      <c r="E725" s="12">
        <v>17.28</v>
      </c>
      <c r="F725" s="12">
        <v>1537.92</v>
      </c>
      <c r="G725" s="8">
        <v>35</v>
      </c>
      <c r="H725" s="8">
        <v>53</v>
      </c>
      <c r="I725" s="8">
        <v>70</v>
      </c>
      <c r="J725" s="8">
        <f>C725*0.225*3.14*0.0032</f>
        <v>0.20121120000000003</v>
      </c>
      <c r="K725" s="13">
        <v>37</v>
      </c>
      <c r="L725" s="13" t="s">
        <v>146</v>
      </c>
      <c r="M725" s="13">
        <v>47.25</v>
      </c>
      <c r="N725" s="13">
        <v>67.5</v>
      </c>
      <c r="O725" s="13">
        <v>87.75</v>
      </c>
      <c r="P725" s="8">
        <f>M725*K725*J725</f>
        <v>351.76748040000007</v>
      </c>
      <c r="Q725" s="8">
        <f>N725*K725*J725</f>
        <v>502.5249720000001</v>
      </c>
      <c r="R725" s="8">
        <f>O725*K725*J725</f>
        <v>653.28246360000014</v>
      </c>
    </row>
    <row r="726" spans="1:18" ht="32" x14ac:dyDescent="0.2">
      <c r="A726" s="9" t="s">
        <v>13</v>
      </c>
      <c r="B726" s="10" t="s">
        <v>791</v>
      </c>
      <c r="C726" s="8">
        <v>16</v>
      </c>
      <c r="D726" s="11" t="s">
        <v>34</v>
      </c>
      <c r="E726" s="12">
        <v>25.93</v>
      </c>
      <c r="F726" s="12">
        <v>414.88</v>
      </c>
      <c r="G726" s="8">
        <v>35</v>
      </c>
      <c r="H726" s="8">
        <v>53</v>
      </c>
      <c r="I726" s="8">
        <v>70</v>
      </c>
      <c r="J726" s="8">
        <f>C726*0.3*3.14*0.0032</f>
        <v>4.82304E-2</v>
      </c>
      <c r="K726" s="13">
        <v>37</v>
      </c>
      <c r="L726" s="13" t="s">
        <v>146</v>
      </c>
      <c r="M726" s="13">
        <v>47.25</v>
      </c>
      <c r="N726" s="13">
        <v>67.5</v>
      </c>
      <c r="O726" s="13">
        <v>87.75</v>
      </c>
      <c r="P726" s="8">
        <f>M726*K726*J726</f>
        <v>84.318796800000001</v>
      </c>
      <c r="Q726" s="8">
        <f>N726*K726*J726</f>
        <v>120.45542399999999</v>
      </c>
      <c r="R726" s="8">
        <f>O726*K726*J726</f>
        <v>156.59205119999999</v>
      </c>
    </row>
    <row r="727" spans="1:18" ht="16" x14ac:dyDescent="0.2">
      <c r="A727" s="9" t="s">
        <v>14</v>
      </c>
      <c r="B727" s="10" t="s">
        <v>737</v>
      </c>
      <c r="C727" s="8">
        <v>130</v>
      </c>
      <c r="D727" s="11" t="s">
        <v>36</v>
      </c>
      <c r="E727" s="12">
        <v>27.01</v>
      </c>
      <c r="F727" s="12">
        <v>3511.3</v>
      </c>
      <c r="G727" s="8">
        <v>35</v>
      </c>
      <c r="H727" s="8">
        <v>53</v>
      </c>
      <c r="I727" s="8">
        <v>70</v>
      </c>
    </row>
    <row r="728" spans="1:18" ht="16" x14ac:dyDescent="0.2">
      <c r="A728" s="9" t="s">
        <v>15</v>
      </c>
      <c r="B728" s="10" t="s">
        <v>792</v>
      </c>
      <c r="C728" s="8">
        <v>65</v>
      </c>
      <c r="D728" s="11" t="s">
        <v>36</v>
      </c>
      <c r="E728" s="12">
        <v>30.25</v>
      </c>
      <c r="F728" s="12">
        <v>1966.25</v>
      </c>
      <c r="G728" s="8">
        <v>35</v>
      </c>
      <c r="H728" s="8">
        <v>53</v>
      </c>
      <c r="I728" s="8">
        <v>70</v>
      </c>
    </row>
    <row r="729" spans="1:18" ht="16" x14ac:dyDescent="0.2">
      <c r="A729" s="9" t="s">
        <v>16</v>
      </c>
      <c r="B729" s="10" t="s">
        <v>751</v>
      </c>
      <c r="C729" s="8">
        <v>24</v>
      </c>
      <c r="D729" s="11" t="s">
        <v>36</v>
      </c>
      <c r="E729" s="12">
        <v>32.409999999999997</v>
      </c>
      <c r="F729" s="12">
        <v>777.84</v>
      </c>
      <c r="G729" s="8">
        <v>35</v>
      </c>
      <c r="H729" s="8">
        <v>53</v>
      </c>
      <c r="I729" s="8">
        <v>70</v>
      </c>
    </row>
    <row r="730" spans="1:18" ht="16" x14ac:dyDescent="0.2">
      <c r="A730" s="9" t="s">
        <v>17</v>
      </c>
      <c r="B730" s="10" t="s">
        <v>793</v>
      </c>
      <c r="C730" s="8">
        <v>3</v>
      </c>
      <c r="D730" s="11" t="s">
        <v>36</v>
      </c>
      <c r="E730" s="12">
        <v>41.05</v>
      </c>
      <c r="F730" s="12">
        <v>123.15</v>
      </c>
      <c r="G730" s="8">
        <v>35</v>
      </c>
      <c r="H730" s="8">
        <v>53</v>
      </c>
      <c r="I730" s="8">
        <v>70</v>
      </c>
    </row>
    <row r="731" spans="1:18" ht="32" x14ac:dyDescent="0.2">
      <c r="A731" s="9" t="s">
        <v>18</v>
      </c>
      <c r="B731" s="10" t="s">
        <v>738</v>
      </c>
      <c r="C731" s="8">
        <v>27</v>
      </c>
      <c r="D731" s="11" t="s">
        <v>36</v>
      </c>
      <c r="E731" s="12">
        <v>27.01</v>
      </c>
      <c r="F731" s="12">
        <v>729.27</v>
      </c>
      <c r="G731" s="8">
        <v>35</v>
      </c>
      <c r="H731" s="8">
        <v>53</v>
      </c>
      <c r="I731" s="8">
        <v>70</v>
      </c>
    </row>
    <row r="732" spans="1:18" ht="32" x14ac:dyDescent="0.2">
      <c r="A732" s="9" t="s">
        <v>19</v>
      </c>
      <c r="B732" s="10" t="s">
        <v>794</v>
      </c>
      <c r="C732" s="8">
        <v>18</v>
      </c>
      <c r="D732" s="11" t="s">
        <v>36</v>
      </c>
      <c r="E732" s="12">
        <v>30.25</v>
      </c>
      <c r="F732" s="12">
        <v>544.5</v>
      </c>
      <c r="G732" s="8">
        <v>35</v>
      </c>
      <c r="H732" s="8">
        <v>53</v>
      </c>
      <c r="I732" s="8">
        <v>70</v>
      </c>
    </row>
    <row r="733" spans="1:18" ht="32" x14ac:dyDescent="0.2">
      <c r="A733" s="9" t="s">
        <v>20</v>
      </c>
      <c r="B733" s="10" t="s">
        <v>752</v>
      </c>
      <c r="C733" s="8">
        <v>14</v>
      </c>
      <c r="D733" s="11" t="s">
        <v>36</v>
      </c>
      <c r="E733" s="12">
        <v>32.409999999999997</v>
      </c>
      <c r="F733" s="12">
        <v>453.74</v>
      </c>
      <c r="G733" s="8">
        <v>35</v>
      </c>
      <c r="H733" s="8">
        <v>53</v>
      </c>
      <c r="I733" s="8">
        <v>70</v>
      </c>
    </row>
    <row r="734" spans="1:18" ht="32" x14ac:dyDescent="0.2">
      <c r="A734" s="9" t="s">
        <v>21</v>
      </c>
      <c r="B734" s="10" t="s">
        <v>795</v>
      </c>
      <c r="C734" s="8">
        <v>6</v>
      </c>
      <c r="D734" s="11" t="s">
        <v>36</v>
      </c>
      <c r="E734" s="12">
        <v>38.89</v>
      </c>
      <c r="F734" s="12">
        <v>233.34</v>
      </c>
      <c r="G734" s="8">
        <v>35</v>
      </c>
      <c r="H734" s="8">
        <v>53</v>
      </c>
      <c r="I734" s="8">
        <v>70</v>
      </c>
    </row>
    <row r="735" spans="1:18" ht="32" x14ac:dyDescent="0.2">
      <c r="A735" s="9" t="s">
        <v>22</v>
      </c>
      <c r="B735" s="10" t="s">
        <v>796</v>
      </c>
      <c r="C735" s="8">
        <v>14</v>
      </c>
      <c r="D735" s="11" t="s">
        <v>36</v>
      </c>
      <c r="E735" s="12">
        <v>37.81</v>
      </c>
      <c r="F735" s="12">
        <v>529.34</v>
      </c>
      <c r="G735" s="8">
        <v>35</v>
      </c>
      <c r="H735" s="8">
        <v>53</v>
      </c>
      <c r="I735" s="8">
        <v>70</v>
      </c>
    </row>
    <row r="736" spans="1:18" ht="32" x14ac:dyDescent="0.2">
      <c r="A736" s="9" t="s">
        <v>23</v>
      </c>
      <c r="B736" s="10" t="s">
        <v>797</v>
      </c>
      <c r="C736" s="8">
        <v>2</v>
      </c>
      <c r="D736" s="11" t="s">
        <v>36</v>
      </c>
      <c r="E736" s="12">
        <v>37.81</v>
      </c>
      <c r="F736" s="12">
        <v>75.62</v>
      </c>
      <c r="G736" s="8">
        <v>35</v>
      </c>
      <c r="H736" s="8">
        <v>53</v>
      </c>
      <c r="I736" s="8">
        <v>70</v>
      </c>
    </row>
    <row r="737" spans="1:10" ht="32" x14ac:dyDescent="0.2">
      <c r="A737" s="9" t="s">
        <v>24</v>
      </c>
      <c r="B737" s="10" t="s">
        <v>798</v>
      </c>
      <c r="C737" s="8">
        <v>12</v>
      </c>
      <c r="D737" s="11" t="s">
        <v>36</v>
      </c>
      <c r="E737" s="12">
        <v>41.05</v>
      </c>
      <c r="F737" s="12">
        <v>492.6</v>
      </c>
      <c r="G737" s="8">
        <v>35</v>
      </c>
      <c r="H737" s="8">
        <v>53</v>
      </c>
      <c r="I737" s="8">
        <v>70</v>
      </c>
    </row>
    <row r="738" spans="1:10" ht="32" x14ac:dyDescent="0.2">
      <c r="A738" s="9" t="s">
        <v>25</v>
      </c>
      <c r="B738" s="10" t="s">
        <v>799</v>
      </c>
      <c r="C738" s="8">
        <v>1</v>
      </c>
      <c r="D738" s="11" t="s">
        <v>36</v>
      </c>
      <c r="E738" s="12">
        <v>49.69</v>
      </c>
      <c r="F738" s="12">
        <v>49.69</v>
      </c>
      <c r="G738" s="8">
        <v>35</v>
      </c>
      <c r="H738" s="8">
        <v>53</v>
      </c>
      <c r="I738" s="8">
        <v>70</v>
      </c>
    </row>
    <row r="739" spans="1:10" ht="32" x14ac:dyDescent="0.2">
      <c r="A739" s="9" t="s">
        <v>26</v>
      </c>
      <c r="B739" s="10" t="s">
        <v>800</v>
      </c>
      <c r="C739" s="8">
        <v>7</v>
      </c>
      <c r="D739" s="11" t="s">
        <v>36</v>
      </c>
      <c r="E739" s="12">
        <v>37.81</v>
      </c>
      <c r="F739" s="12">
        <v>264.67</v>
      </c>
      <c r="G739" s="8">
        <v>35</v>
      </c>
      <c r="H739" s="8">
        <v>53</v>
      </c>
      <c r="I739" s="8">
        <v>70</v>
      </c>
    </row>
    <row r="740" spans="1:10" ht="32" x14ac:dyDescent="0.2">
      <c r="A740" s="9" t="s">
        <v>27</v>
      </c>
      <c r="B740" s="10" t="s">
        <v>801</v>
      </c>
      <c r="C740" s="8">
        <v>5</v>
      </c>
      <c r="D740" s="11" t="s">
        <v>36</v>
      </c>
      <c r="E740" s="12">
        <v>41.05</v>
      </c>
      <c r="F740" s="12">
        <v>205.25</v>
      </c>
      <c r="G740" s="8">
        <v>35</v>
      </c>
      <c r="H740" s="8">
        <v>53</v>
      </c>
      <c r="I740" s="8">
        <v>70</v>
      </c>
    </row>
    <row r="741" spans="1:10" ht="48" x14ac:dyDescent="0.2">
      <c r="A741" s="9" t="s">
        <v>28</v>
      </c>
      <c r="B741" s="10" t="s">
        <v>802</v>
      </c>
      <c r="C741" s="8">
        <v>5</v>
      </c>
      <c r="D741" s="11" t="s">
        <v>36</v>
      </c>
      <c r="E741" s="12">
        <v>237.65</v>
      </c>
      <c r="F741" s="12">
        <v>1188.25</v>
      </c>
      <c r="G741" s="8">
        <v>35</v>
      </c>
      <c r="H741" s="8">
        <v>53</v>
      </c>
      <c r="I741" s="8">
        <v>70</v>
      </c>
    </row>
    <row r="742" spans="1:10" ht="48" x14ac:dyDescent="0.2">
      <c r="A742" s="9" t="s">
        <v>29</v>
      </c>
      <c r="B742" s="10" t="s">
        <v>803</v>
      </c>
      <c r="C742" s="8">
        <v>2</v>
      </c>
      <c r="D742" s="11" t="s">
        <v>36</v>
      </c>
      <c r="E742" s="12">
        <v>118.83</v>
      </c>
      <c r="F742" s="12">
        <v>237.66</v>
      </c>
      <c r="G742" s="8">
        <v>35</v>
      </c>
      <c r="H742" s="8">
        <v>53</v>
      </c>
      <c r="I742" s="8">
        <v>70</v>
      </c>
    </row>
    <row r="743" spans="1:10" ht="32" x14ac:dyDescent="0.2">
      <c r="A743" s="9" t="s">
        <v>30</v>
      </c>
      <c r="B743" s="10" t="s">
        <v>804</v>
      </c>
      <c r="C743" s="8">
        <v>37</v>
      </c>
      <c r="D743" s="11" t="s">
        <v>36</v>
      </c>
      <c r="E743" s="12">
        <v>48.61</v>
      </c>
      <c r="F743" s="12">
        <v>1798.57</v>
      </c>
      <c r="G743" s="8">
        <v>35</v>
      </c>
      <c r="H743" s="8">
        <v>53</v>
      </c>
      <c r="I743" s="8">
        <v>70</v>
      </c>
    </row>
    <row r="744" spans="1:10" ht="32" x14ac:dyDescent="0.2">
      <c r="A744" s="9" t="s">
        <v>31</v>
      </c>
      <c r="B744" s="10" t="s">
        <v>805</v>
      </c>
      <c r="C744" s="8">
        <v>37</v>
      </c>
      <c r="D744" s="11" t="s">
        <v>36</v>
      </c>
      <c r="E744" s="12">
        <v>31.33</v>
      </c>
      <c r="F744" s="12">
        <v>1159.21</v>
      </c>
      <c r="G744" s="8">
        <v>35</v>
      </c>
      <c r="H744" s="8">
        <v>53</v>
      </c>
      <c r="I744" s="8">
        <v>70</v>
      </c>
    </row>
    <row r="745" spans="1:10" ht="32" x14ac:dyDescent="0.2">
      <c r="A745" s="9" t="s">
        <v>90</v>
      </c>
      <c r="B745" s="10" t="s">
        <v>806</v>
      </c>
      <c r="C745" s="8">
        <v>10</v>
      </c>
      <c r="D745" s="11" t="s">
        <v>36</v>
      </c>
      <c r="E745" s="12">
        <v>253.86</v>
      </c>
      <c r="F745" s="12">
        <v>2538.6</v>
      </c>
      <c r="G745" s="8">
        <v>500</v>
      </c>
      <c r="H745" s="8">
        <v>750</v>
      </c>
      <c r="I745" s="8">
        <v>1000</v>
      </c>
    </row>
    <row r="746" spans="1:10" ht="32" x14ac:dyDescent="0.2">
      <c r="A746" s="9" t="s">
        <v>6</v>
      </c>
      <c r="B746" s="10" t="s">
        <v>807</v>
      </c>
      <c r="C746" s="8">
        <v>62</v>
      </c>
      <c r="D746" s="11" t="s">
        <v>34</v>
      </c>
      <c r="E746" s="12">
        <v>1.08</v>
      </c>
      <c r="F746" s="12">
        <v>66.959999999999994</v>
      </c>
      <c r="G746" s="8">
        <v>1</v>
      </c>
      <c r="H746" s="8">
        <v>1</v>
      </c>
      <c r="I746" s="8">
        <v>1</v>
      </c>
    </row>
    <row r="747" spans="1:10" ht="32" x14ac:dyDescent="0.2">
      <c r="A747" s="9" t="s">
        <v>9</v>
      </c>
      <c r="B747" s="10" t="s">
        <v>808</v>
      </c>
      <c r="C747" s="8">
        <v>1</v>
      </c>
      <c r="D747" s="11" t="s">
        <v>36</v>
      </c>
      <c r="E747" s="12">
        <v>1528.54</v>
      </c>
      <c r="F747" s="12">
        <v>1528.54</v>
      </c>
      <c r="G747" s="8">
        <v>50</v>
      </c>
      <c r="H747" s="8">
        <v>50</v>
      </c>
      <c r="I747" s="8">
        <v>50</v>
      </c>
      <c r="J747" s="8">
        <f>0.15*1.2*3.14*1.25</f>
        <v>0.70650000000000002</v>
      </c>
    </row>
    <row r="748" spans="1:10" ht="32" x14ac:dyDescent="0.2">
      <c r="A748" s="9" t="s">
        <v>10</v>
      </c>
      <c r="B748" s="10" t="s">
        <v>809</v>
      </c>
      <c r="C748" s="8">
        <v>2</v>
      </c>
      <c r="D748" s="11" t="s">
        <v>36</v>
      </c>
      <c r="E748" s="12">
        <v>1701.38</v>
      </c>
      <c r="F748" s="12">
        <v>3402.76</v>
      </c>
      <c r="G748" s="8">
        <v>50</v>
      </c>
      <c r="H748" s="8">
        <v>50</v>
      </c>
      <c r="I748" s="8">
        <v>50</v>
      </c>
      <c r="J748" s="8">
        <f>0.15*3.14*1.2*1.5*2</f>
        <v>1.6955999999999998</v>
      </c>
    </row>
    <row r="749" spans="1:10" ht="32" x14ac:dyDescent="0.2">
      <c r="A749" s="9" t="s">
        <v>11</v>
      </c>
      <c r="B749" s="10" t="s">
        <v>810</v>
      </c>
      <c r="C749" s="8">
        <v>2</v>
      </c>
      <c r="D749" s="11" t="s">
        <v>36</v>
      </c>
      <c r="E749" s="12">
        <v>1824.53</v>
      </c>
      <c r="F749" s="12">
        <v>3649.06</v>
      </c>
      <c r="G749" s="8">
        <v>50</v>
      </c>
      <c r="H749" s="8">
        <v>50</v>
      </c>
      <c r="I749" s="8">
        <v>50</v>
      </c>
      <c r="J749" s="8">
        <f>0.15*1.2*3.14*1.75*2</f>
        <v>1.9782000000000002</v>
      </c>
    </row>
    <row r="750" spans="1:10" ht="32" x14ac:dyDescent="0.2">
      <c r="A750" s="9" t="s">
        <v>12</v>
      </c>
      <c r="B750" s="10" t="s">
        <v>811</v>
      </c>
      <c r="C750" s="8">
        <v>2</v>
      </c>
      <c r="D750" s="11" t="s">
        <v>36</v>
      </c>
      <c r="E750" s="12">
        <v>1993.05</v>
      </c>
      <c r="F750" s="12">
        <v>3986.1</v>
      </c>
      <c r="G750" s="8">
        <v>50</v>
      </c>
      <c r="H750" s="8">
        <v>50</v>
      </c>
      <c r="I750" s="8">
        <v>50</v>
      </c>
      <c r="J750" s="8">
        <f>0.15*1.2*3.14*2*2</f>
        <v>2.2608000000000001</v>
      </c>
    </row>
    <row r="751" spans="1:10" ht="32" x14ac:dyDescent="0.2">
      <c r="A751" s="9" t="s">
        <v>13</v>
      </c>
      <c r="B751" s="10" t="s">
        <v>812</v>
      </c>
      <c r="C751" s="8">
        <v>1</v>
      </c>
      <c r="D751" s="11" t="s">
        <v>36</v>
      </c>
      <c r="E751" s="12">
        <v>324.07</v>
      </c>
      <c r="F751" s="12">
        <v>324.07</v>
      </c>
    </row>
    <row r="752" spans="1:10" ht="32" x14ac:dyDescent="0.2">
      <c r="A752" s="9" t="s">
        <v>14</v>
      </c>
      <c r="B752" s="10" t="s">
        <v>813</v>
      </c>
      <c r="C752" s="8">
        <v>1</v>
      </c>
      <c r="D752" s="11" t="s">
        <v>36</v>
      </c>
      <c r="E752" s="12">
        <v>378.08</v>
      </c>
      <c r="F752" s="12">
        <v>378.08</v>
      </c>
    </row>
    <row r="753" spans="1:9" ht="16" x14ac:dyDescent="0.2">
      <c r="A753" s="9" t="s">
        <v>15</v>
      </c>
      <c r="B753" s="10" t="s">
        <v>89</v>
      </c>
      <c r="C753" s="8">
        <v>10</v>
      </c>
      <c r="D753" s="11" t="s">
        <v>36</v>
      </c>
      <c r="E753" s="12">
        <v>480.71</v>
      </c>
      <c r="F753" s="12">
        <v>4807.1000000000004</v>
      </c>
      <c r="G753" s="8">
        <v>50</v>
      </c>
      <c r="H753" s="8">
        <v>50</v>
      </c>
      <c r="I753" s="8">
        <v>50</v>
      </c>
    </row>
    <row r="754" spans="1:9" ht="16" x14ac:dyDescent="0.2">
      <c r="A754" s="9" t="s">
        <v>16</v>
      </c>
      <c r="B754" s="10" t="s">
        <v>91</v>
      </c>
      <c r="C754" s="8">
        <v>3</v>
      </c>
      <c r="D754" s="11" t="s">
        <v>36</v>
      </c>
      <c r="E754" s="12">
        <v>556.32000000000005</v>
      </c>
      <c r="F754" s="12">
        <v>1668.96</v>
      </c>
      <c r="G754" s="8">
        <v>50</v>
      </c>
      <c r="H754" s="8">
        <v>50</v>
      </c>
      <c r="I754" s="8">
        <v>50</v>
      </c>
    </row>
    <row r="755" spans="1:9" ht="16" x14ac:dyDescent="0.2">
      <c r="A755" s="9" t="s">
        <v>17</v>
      </c>
      <c r="B755" s="10" t="s">
        <v>92</v>
      </c>
      <c r="C755" s="8">
        <v>1</v>
      </c>
      <c r="D755" s="11" t="s">
        <v>36</v>
      </c>
      <c r="E755" s="12">
        <v>658.95</v>
      </c>
      <c r="F755" s="12">
        <v>658.95</v>
      </c>
      <c r="G755" s="8">
        <v>50</v>
      </c>
      <c r="H755" s="8">
        <v>50</v>
      </c>
      <c r="I755" s="8">
        <v>50</v>
      </c>
    </row>
    <row r="756" spans="1:9" ht="32" x14ac:dyDescent="0.2">
      <c r="A756" s="9" t="s">
        <v>6</v>
      </c>
      <c r="B756" s="10" t="s">
        <v>93</v>
      </c>
      <c r="C756" s="8">
        <v>0</v>
      </c>
      <c r="D756" s="11" t="s">
        <v>5</v>
      </c>
      <c r="E756" s="12">
        <v>0</v>
      </c>
      <c r="F756" s="12">
        <v>0</v>
      </c>
    </row>
    <row r="757" spans="1:9" ht="16" x14ac:dyDescent="0.2">
      <c r="A757" s="9" t="s">
        <v>6</v>
      </c>
      <c r="B757" s="10" t="s">
        <v>764</v>
      </c>
      <c r="C757" s="8">
        <v>1</v>
      </c>
      <c r="D757" s="11" t="s">
        <v>7</v>
      </c>
      <c r="E757" s="12">
        <v>810.18</v>
      </c>
      <c r="F757" s="12">
        <v>810.18</v>
      </c>
      <c r="G757" s="8">
        <v>1</v>
      </c>
      <c r="H757" s="8">
        <v>1</v>
      </c>
      <c r="I757" s="8">
        <v>1</v>
      </c>
    </row>
    <row r="758" spans="1:9" ht="16" x14ac:dyDescent="0.2">
      <c r="A758" s="9" t="s">
        <v>9</v>
      </c>
      <c r="B758" s="10" t="s">
        <v>765</v>
      </c>
      <c r="C758" s="8">
        <v>1</v>
      </c>
      <c r="D758" s="11" t="s">
        <v>7</v>
      </c>
      <c r="E758" s="12">
        <v>378.08</v>
      </c>
      <c r="F758" s="12">
        <v>378.08</v>
      </c>
      <c r="G758" s="8">
        <v>1</v>
      </c>
      <c r="H758" s="8">
        <v>1</v>
      </c>
      <c r="I758" s="8">
        <v>1</v>
      </c>
    </row>
    <row r="759" spans="1:9" ht="16" x14ac:dyDescent="0.2">
      <c r="A759" s="9" t="s">
        <v>10</v>
      </c>
      <c r="B759" s="10" t="s">
        <v>766</v>
      </c>
      <c r="C759" s="8">
        <v>1</v>
      </c>
      <c r="D759" s="11" t="s">
        <v>7</v>
      </c>
      <c r="E759" s="12">
        <v>324.07</v>
      </c>
      <c r="F759" s="12">
        <v>324.07</v>
      </c>
      <c r="G759" s="8">
        <v>1</v>
      </c>
      <c r="H759" s="8">
        <v>1</v>
      </c>
      <c r="I759" s="8">
        <v>1</v>
      </c>
    </row>
    <row r="760" spans="1:9" ht="16" x14ac:dyDescent="0.2">
      <c r="A760" s="9" t="s">
        <v>11</v>
      </c>
      <c r="B760" s="10" t="s">
        <v>767</v>
      </c>
      <c r="C760" s="8">
        <v>1</v>
      </c>
      <c r="D760" s="11" t="s">
        <v>7</v>
      </c>
      <c r="E760" s="12">
        <v>270.06</v>
      </c>
      <c r="F760" s="12">
        <v>270.06</v>
      </c>
      <c r="G760" s="8">
        <v>1</v>
      </c>
      <c r="H760" s="8">
        <v>1</v>
      </c>
      <c r="I760" s="8">
        <v>1</v>
      </c>
    </row>
    <row r="761" spans="1:9" ht="16" x14ac:dyDescent="0.2">
      <c r="A761" s="9" t="s">
        <v>12</v>
      </c>
      <c r="B761" s="10" t="s">
        <v>768</v>
      </c>
      <c r="C761" s="8">
        <v>1</v>
      </c>
      <c r="D761" s="11" t="s">
        <v>7</v>
      </c>
      <c r="E761" s="12">
        <v>199.84</v>
      </c>
      <c r="F761" s="12">
        <v>199.84</v>
      </c>
      <c r="G761" s="8">
        <v>1</v>
      </c>
      <c r="H761" s="8">
        <v>1</v>
      </c>
      <c r="I761" s="8">
        <v>1</v>
      </c>
    </row>
    <row r="762" spans="1:9" ht="16" x14ac:dyDescent="0.2">
      <c r="A762" s="9" t="s">
        <v>6</v>
      </c>
      <c r="B762" s="10" t="s">
        <v>78</v>
      </c>
      <c r="C762" s="8">
        <v>0</v>
      </c>
      <c r="D762" s="11" t="s">
        <v>33</v>
      </c>
      <c r="E762" s="12">
        <v>0</v>
      </c>
      <c r="F762" s="12">
        <v>0</v>
      </c>
    </row>
    <row r="763" spans="1:9" ht="16" x14ac:dyDescent="0.2">
      <c r="A763" s="9" t="s">
        <v>9</v>
      </c>
      <c r="B763" s="10" t="s">
        <v>79</v>
      </c>
      <c r="C763" s="8">
        <v>0</v>
      </c>
      <c r="D763" s="11" t="s">
        <v>33</v>
      </c>
      <c r="E763" s="12">
        <v>0</v>
      </c>
      <c r="F763" s="12">
        <v>0</v>
      </c>
    </row>
    <row r="764" spans="1:9" ht="16" x14ac:dyDescent="0.2">
      <c r="A764" s="9" t="s">
        <v>10</v>
      </c>
      <c r="B764" s="10" t="s">
        <v>80</v>
      </c>
      <c r="C764" s="8">
        <v>0</v>
      </c>
      <c r="D764" s="11" t="s">
        <v>33</v>
      </c>
      <c r="E764" s="12">
        <v>0</v>
      </c>
      <c r="F764" s="12">
        <v>0</v>
      </c>
    </row>
    <row r="765" spans="1:9" ht="16" x14ac:dyDescent="0.2">
      <c r="A765" s="9" t="s">
        <v>11</v>
      </c>
      <c r="B765" s="10" t="s">
        <v>81</v>
      </c>
      <c r="C765" s="8">
        <v>0</v>
      </c>
      <c r="D765" s="11" t="s">
        <v>33</v>
      </c>
      <c r="E765" s="12">
        <v>0</v>
      </c>
      <c r="F765" s="12">
        <v>0</v>
      </c>
    </row>
    <row r="766" spans="1:9" ht="48" x14ac:dyDescent="0.2">
      <c r="A766" s="9" t="s">
        <v>12</v>
      </c>
      <c r="B766" s="10" t="s">
        <v>82</v>
      </c>
      <c r="C766" s="8">
        <v>0</v>
      </c>
      <c r="D766" s="11" t="s">
        <v>33</v>
      </c>
      <c r="E766" s="12">
        <v>0</v>
      </c>
      <c r="F766" s="12">
        <v>0</v>
      </c>
    </row>
    <row r="767" spans="1:9" ht="32" x14ac:dyDescent="0.2">
      <c r="A767" s="9" t="s">
        <v>13</v>
      </c>
      <c r="B767" s="10" t="s">
        <v>83</v>
      </c>
      <c r="C767" s="8">
        <v>0</v>
      </c>
      <c r="D767" s="11" t="s">
        <v>34</v>
      </c>
      <c r="E767" s="12">
        <v>0</v>
      </c>
      <c r="F767" s="12">
        <v>0</v>
      </c>
    </row>
    <row r="768" spans="1:9" ht="32" x14ac:dyDescent="0.2">
      <c r="A768" s="9" t="s">
        <v>14</v>
      </c>
      <c r="B768" s="10" t="s">
        <v>84</v>
      </c>
      <c r="C768" s="8">
        <v>0</v>
      </c>
      <c r="D768" s="11" t="s">
        <v>36</v>
      </c>
      <c r="E768" s="12">
        <v>0</v>
      </c>
      <c r="F768" s="12">
        <v>0</v>
      </c>
    </row>
    <row r="769" spans="1:18" ht="16" x14ac:dyDescent="0.2">
      <c r="A769" s="9" t="s">
        <v>6</v>
      </c>
      <c r="B769" s="10" t="s">
        <v>94</v>
      </c>
      <c r="C769" s="8">
        <v>1</v>
      </c>
      <c r="D769" s="11" t="s">
        <v>7</v>
      </c>
      <c r="E769" s="12">
        <v>0</v>
      </c>
      <c r="F769" s="12">
        <v>0</v>
      </c>
    </row>
    <row r="770" spans="1:18" ht="16" x14ac:dyDescent="0.2">
      <c r="A770" s="9" t="s">
        <v>9</v>
      </c>
      <c r="B770" s="10" t="s">
        <v>8</v>
      </c>
      <c r="C770" s="8">
        <v>1</v>
      </c>
      <c r="D770" s="11" t="s">
        <v>7</v>
      </c>
      <c r="E770" s="12">
        <v>0</v>
      </c>
      <c r="F770" s="12">
        <v>0</v>
      </c>
    </row>
    <row r="771" spans="1:18" ht="48" x14ac:dyDescent="0.2">
      <c r="A771" s="9" t="s">
        <v>10</v>
      </c>
      <c r="B771" s="10" t="s">
        <v>814</v>
      </c>
      <c r="C771" s="8">
        <v>116</v>
      </c>
      <c r="D771" s="11" t="s">
        <v>34</v>
      </c>
      <c r="E771" s="12">
        <v>38.89</v>
      </c>
      <c r="F771" s="12">
        <v>4511.24</v>
      </c>
      <c r="G771" s="8">
        <v>500</v>
      </c>
      <c r="H771" s="8">
        <v>750</v>
      </c>
      <c r="I771" s="8">
        <v>1000</v>
      </c>
      <c r="J771" s="8">
        <f>C771*0.2*1.25</f>
        <v>29.000000000000004</v>
      </c>
      <c r="K771" s="13">
        <v>2050</v>
      </c>
      <c r="L771" s="13" t="s">
        <v>108</v>
      </c>
      <c r="M771" s="13">
        <v>0.15</v>
      </c>
      <c r="N771" s="13">
        <v>0.45</v>
      </c>
      <c r="O771" s="13">
        <v>0.73</v>
      </c>
      <c r="P771" s="8">
        <f>M771*K771*J771</f>
        <v>8917.5000000000018</v>
      </c>
      <c r="Q771" s="8">
        <f>N771*K771*J771</f>
        <v>26752.500000000004</v>
      </c>
      <c r="R771" s="8">
        <f>O771*K771*J771</f>
        <v>43398.500000000007</v>
      </c>
    </row>
    <row r="772" spans="1:18" ht="80" x14ac:dyDescent="0.2">
      <c r="A772" s="9" t="s">
        <v>11</v>
      </c>
      <c r="B772" s="10" t="s">
        <v>815</v>
      </c>
      <c r="C772" s="8">
        <v>12</v>
      </c>
      <c r="D772" s="11" t="s">
        <v>34</v>
      </c>
      <c r="E772" s="12">
        <v>156.63999999999999</v>
      </c>
      <c r="F772" s="12">
        <v>1879.68</v>
      </c>
      <c r="G772" s="8">
        <v>500</v>
      </c>
      <c r="H772" s="8">
        <v>750</v>
      </c>
      <c r="I772" s="8">
        <v>1000</v>
      </c>
    </row>
    <row r="773" spans="1:18" ht="48" x14ac:dyDescent="0.2">
      <c r="A773" s="9" t="s">
        <v>12</v>
      </c>
      <c r="B773" s="10" t="s">
        <v>816</v>
      </c>
      <c r="C773" s="8">
        <v>136</v>
      </c>
      <c r="D773" s="11" t="s">
        <v>34</v>
      </c>
      <c r="E773" s="12">
        <v>38.89</v>
      </c>
      <c r="F773" s="12">
        <v>5289.04</v>
      </c>
      <c r="G773" s="8">
        <v>500</v>
      </c>
      <c r="H773" s="8">
        <v>750</v>
      </c>
      <c r="I773" s="8">
        <v>1000</v>
      </c>
      <c r="J773" s="8">
        <f>C773*0.2*1.25</f>
        <v>34</v>
      </c>
      <c r="K773" s="13">
        <v>2050</v>
      </c>
      <c r="L773" s="13" t="s">
        <v>108</v>
      </c>
      <c r="M773" s="13">
        <v>0.15</v>
      </c>
      <c r="N773" s="13">
        <v>0.45</v>
      </c>
      <c r="O773" s="13">
        <v>0.73</v>
      </c>
      <c r="P773" s="8">
        <f>M773*K773*J773</f>
        <v>10455</v>
      </c>
      <c r="Q773" s="8">
        <f>N773*K773*J773</f>
        <v>31365</v>
      </c>
      <c r="R773" s="8">
        <f>O773*K773*J773</f>
        <v>50881</v>
      </c>
    </row>
    <row r="774" spans="1:18" ht="64" x14ac:dyDescent="0.2">
      <c r="A774" s="9" t="s">
        <v>13</v>
      </c>
      <c r="B774" s="10" t="s">
        <v>817</v>
      </c>
      <c r="C774" s="8">
        <v>7</v>
      </c>
      <c r="D774" s="11" t="s">
        <v>34</v>
      </c>
      <c r="E774" s="12">
        <v>156.63999999999999</v>
      </c>
      <c r="F774" s="12">
        <v>1096.48</v>
      </c>
      <c r="G774" s="8">
        <v>500</v>
      </c>
      <c r="H774" s="8">
        <v>750</v>
      </c>
      <c r="I774" s="8">
        <v>1000</v>
      </c>
    </row>
    <row r="775" spans="1:18" ht="48" x14ac:dyDescent="0.2">
      <c r="A775" s="9" t="s">
        <v>14</v>
      </c>
      <c r="B775" s="10" t="s">
        <v>818</v>
      </c>
      <c r="C775" s="8">
        <v>1</v>
      </c>
      <c r="D775" s="11" t="s">
        <v>7</v>
      </c>
      <c r="E775" s="12">
        <v>199.84</v>
      </c>
      <c r="F775" s="12">
        <v>199.84</v>
      </c>
      <c r="G775" s="8">
        <v>1</v>
      </c>
      <c r="H775" s="8">
        <v>1</v>
      </c>
      <c r="I775" s="8">
        <v>1</v>
      </c>
    </row>
    <row r="776" spans="1:18" ht="48" x14ac:dyDescent="0.2">
      <c r="A776" s="9" t="s">
        <v>15</v>
      </c>
      <c r="B776" s="10" t="s">
        <v>819</v>
      </c>
      <c r="C776" s="8">
        <v>116</v>
      </c>
      <c r="D776" s="11" t="s">
        <v>34</v>
      </c>
      <c r="E776" s="12">
        <v>12.96</v>
      </c>
      <c r="F776" s="12">
        <v>1503.36</v>
      </c>
      <c r="G776" s="8">
        <v>500</v>
      </c>
      <c r="H776" s="8">
        <v>750</v>
      </c>
      <c r="I776" s="8">
        <v>1000</v>
      </c>
      <c r="J776" s="8">
        <f>C776*0.1*0.1</f>
        <v>1.1600000000000001</v>
      </c>
      <c r="K776" s="13">
        <v>2050</v>
      </c>
      <c r="L776" s="13" t="s">
        <v>108</v>
      </c>
      <c r="M776" s="13">
        <v>0.15</v>
      </c>
      <c r="N776" s="13">
        <v>0.45</v>
      </c>
      <c r="O776" s="13">
        <v>0.73</v>
      </c>
      <c r="P776" s="8">
        <f>M776*K776*J776</f>
        <v>356.70000000000005</v>
      </c>
      <c r="Q776" s="8">
        <f>N776*K776*J776</f>
        <v>1070.1000000000001</v>
      </c>
      <c r="R776" s="8">
        <f>O776*K776*J776</f>
        <v>1735.9400000000003</v>
      </c>
    </row>
    <row r="777" spans="1:18" ht="48" x14ac:dyDescent="0.2">
      <c r="A777" s="9" t="s">
        <v>6</v>
      </c>
      <c r="B777" s="10" t="s">
        <v>820</v>
      </c>
      <c r="C777" s="8">
        <v>136</v>
      </c>
      <c r="D777" s="11" t="s">
        <v>34</v>
      </c>
      <c r="E777" s="12">
        <v>12.96</v>
      </c>
      <c r="F777" s="12">
        <v>1762.56</v>
      </c>
      <c r="G777" s="8">
        <v>500</v>
      </c>
      <c r="H777" s="8">
        <v>750</v>
      </c>
      <c r="I777" s="8">
        <v>1000</v>
      </c>
      <c r="J777" s="8">
        <f>C777*0.1*0.1</f>
        <v>1.3600000000000003</v>
      </c>
      <c r="K777" s="13">
        <v>2050</v>
      </c>
      <c r="L777" s="13" t="s">
        <v>108</v>
      </c>
      <c r="M777" s="13">
        <v>0.15</v>
      </c>
      <c r="N777" s="13">
        <v>0.45</v>
      </c>
      <c r="O777" s="13">
        <v>0.73</v>
      </c>
      <c r="P777" s="8">
        <f>M777*K777*J777</f>
        <v>418.2000000000001</v>
      </c>
      <c r="Q777" s="8">
        <f>N777*K777*J777</f>
        <v>1254.6000000000004</v>
      </c>
      <c r="R777" s="8">
        <f>O777*K777*J777</f>
        <v>2035.2400000000005</v>
      </c>
    </row>
    <row r="778" spans="1:18" ht="32" x14ac:dyDescent="0.2">
      <c r="A778" s="9" t="s">
        <v>9</v>
      </c>
      <c r="B778" s="10" t="s">
        <v>821</v>
      </c>
      <c r="C778" s="8">
        <v>116</v>
      </c>
      <c r="D778" s="11" t="s">
        <v>34</v>
      </c>
      <c r="E778" s="12">
        <v>8.64</v>
      </c>
      <c r="F778" s="12">
        <v>1002.24</v>
      </c>
      <c r="G778" s="8">
        <v>18</v>
      </c>
      <c r="H778" s="8">
        <v>24</v>
      </c>
      <c r="I778" s="8">
        <v>34</v>
      </c>
      <c r="J778" s="8">
        <f>C778*3.14*0.063*0.005</f>
        <v>0.11473560000000001</v>
      </c>
      <c r="K778" s="8">
        <v>940</v>
      </c>
      <c r="M778" s="8">
        <f>83.1*0.7</f>
        <v>58.169999999999995</v>
      </c>
      <c r="N778" s="8">
        <v>83.1</v>
      </c>
      <c r="O778" s="8">
        <f>83.1*1.3</f>
        <v>108.03</v>
      </c>
      <c r="P778" s="8">
        <f>M778*K778*J778</f>
        <v>6273.7196608799995</v>
      </c>
      <c r="Q778" s="8">
        <f>N778*K778*J778</f>
        <v>8962.4566584000004</v>
      </c>
      <c r="R778" s="8">
        <f>O778*K778*J778</f>
        <v>11651.19365592</v>
      </c>
    </row>
    <row r="779" spans="1:18" ht="32" x14ac:dyDescent="0.2">
      <c r="A779" s="9" t="s">
        <v>10</v>
      </c>
      <c r="B779" s="10" t="s">
        <v>822</v>
      </c>
      <c r="C779" s="8">
        <v>136</v>
      </c>
      <c r="D779" s="11" t="s">
        <v>34</v>
      </c>
      <c r="E779" s="12">
        <v>8.64</v>
      </c>
      <c r="F779" s="12">
        <v>1175.04</v>
      </c>
      <c r="G779" s="8">
        <v>18</v>
      </c>
      <c r="H779" s="8">
        <v>24</v>
      </c>
      <c r="I779" s="8">
        <v>34</v>
      </c>
      <c r="J779" s="8">
        <f>C779*0.063*3.14*0.005</f>
        <v>0.13451760000000001</v>
      </c>
      <c r="K779" s="8">
        <v>940</v>
      </c>
      <c r="M779" s="8">
        <f>83.1*0.7</f>
        <v>58.169999999999995</v>
      </c>
      <c r="N779" s="8">
        <v>83.1</v>
      </c>
      <c r="O779" s="8">
        <f>83.1*1.3</f>
        <v>108.03</v>
      </c>
      <c r="P779" s="8">
        <f>M779*K779*J779</f>
        <v>7355.3954644800006</v>
      </c>
      <c r="Q779" s="8">
        <f>N779*K779*J779</f>
        <v>10507.707806400002</v>
      </c>
      <c r="R779" s="8">
        <f>O779*K779*J779</f>
        <v>13660.020148320002</v>
      </c>
    </row>
    <row r="780" spans="1:18" ht="32" x14ac:dyDescent="0.2">
      <c r="A780" s="9" t="s">
        <v>11</v>
      </c>
      <c r="B780" s="10" t="s">
        <v>823</v>
      </c>
      <c r="C780" s="8">
        <v>7</v>
      </c>
      <c r="D780" s="11" t="s">
        <v>36</v>
      </c>
      <c r="E780" s="12">
        <v>51.85</v>
      </c>
      <c r="F780" s="12">
        <v>362.95</v>
      </c>
      <c r="G780" s="8">
        <v>500</v>
      </c>
      <c r="H780" s="8">
        <v>750</v>
      </c>
      <c r="I780" s="8">
        <v>1000</v>
      </c>
    </row>
    <row r="781" spans="1:18" ht="16" x14ac:dyDescent="0.2">
      <c r="A781" s="9" t="s">
        <v>12</v>
      </c>
      <c r="B781" s="10" t="s">
        <v>824</v>
      </c>
      <c r="C781" s="8">
        <v>7</v>
      </c>
      <c r="D781" s="11" t="s">
        <v>36</v>
      </c>
      <c r="E781" s="12">
        <v>51.85</v>
      </c>
      <c r="F781" s="12">
        <v>362.95</v>
      </c>
      <c r="G781" s="8">
        <v>500</v>
      </c>
      <c r="H781" s="8">
        <v>750</v>
      </c>
      <c r="I781" s="8">
        <v>1000</v>
      </c>
    </row>
    <row r="782" spans="1:18" ht="16" x14ac:dyDescent="0.2">
      <c r="A782" s="9" t="s">
        <v>13</v>
      </c>
      <c r="B782" s="10" t="s">
        <v>825</v>
      </c>
      <c r="C782" s="8">
        <v>10</v>
      </c>
      <c r="D782" s="11" t="s">
        <v>36</v>
      </c>
      <c r="E782" s="12">
        <v>0</v>
      </c>
      <c r="F782" s="12">
        <v>0</v>
      </c>
    </row>
    <row r="783" spans="1:18" ht="16" x14ac:dyDescent="0.2">
      <c r="A783" s="9" t="s">
        <v>14</v>
      </c>
      <c r="B783" s="10" t="s">
        <v>826</v>
      </c>
      <c r="C783" s="8">
        <v>10</v>
      </c>
      <c r="D783" s="11" t="s">
        <v>36</v>
      </c>
      <c r="E783" s="12">
        <v>0</v>
      </c>
      <c r="F783" s="12">
        <v>0</v>
      </c>
    </row>
    <row r="784" spans="1:18" ht="32" x14ac:dyDescent="0.2">
      <c r="A784" s="9" t="s">
        <v>15</v>
      </c>
      <c r="B784" s="10" t="s">
        <v>827</v>
      </c>
      <c r="C784" s="8">
        <v>1</v>
      </c>
      <c r="D784" s="11" t="s">
        <v>36</v>
      </c>
      <c r="E784" s="12">
        <v>0</v>
      </c>
      <c r="F784" s="12">
        <v>0</v>
      </c>
    </row>
    <row r="785" spans="1:18" ht="32" x14ac:dyDescent="0.2">
      <c r="A785" s="9" t="s">
        <v>16</v>
      </c>
      <c r="B785" s="10" t="s">
        <v>828</v>
      </c>
      <c r="C785" s="8">
        <v>116</v>
      </c>
      <c r="D785" s="11" t="s">
        <v>34</v>
      </c>
      <c r="E785" s="12">
        <v>1.08</v>
      </c>
      <c r="F785" s="12">
        <v>125.28</v>
      </c>
      <c r="G785" s="8">
        <v>1</v>
      </c>
      <c r="H785" s="8">
        <v>1</v>
      </c>
      <c r="I785" s="8">
        <v>1</v>
      </c>
    </row>
    <row r="786" spans="1:18" ht="32" x14ac:dyDescent="0.2">
      <c r="A786" s="9" t="s">
        <v>17</v>
      </c>
      <c r="B786" s="10" t="s">
        <v>829</v>
      </c>
      <c r="C786" s="8">
        <v>136</v>
      </c>
      <c r="D786" s="11" t="s">
        <v>34</v>
      </c>
      <c r="E786" s="12">
        <v>1.08</v>
      </c>
      <c r="F786" s="12">
        <v>146.88</v>
      </c>
      <c r="G786" s="8">
        <v>1</v>
      </c>
      <c r="H786" s="8">
        <v>1</v>
      </c>
      <c r="I786" s="8">
        <v>1</v>
      </c>
    </row>
    <row r="787" spans="1:18" ht="48" x14ac:dyDescent="0.2">
      <c r="A787" s="9" t="s">
        <v>6</v>
      </c>
      <c r="B787" s="10" t="s">
        <v>830</v>
      </c>
      <c r="C787" s="8">
        <v>149</v>
      </c>
      <c r="D787" s="11" t="s">
        <v>34</v>
      </c>
      <c r="E787" s="12">
        <v>38.89</v>
      </c>
      <c r="F787" s="12">
        <v>5794.61</v>
      </c>
      <c r="G787" s="8">
        <v>500</v>
      </c>
      <c r="H787" s="8">
        <v>750</v>
      </c>
      <c r="I787" s="8">
        <v>1000</v>
      </c>
      <c r="J787" s="8">
        <f>C787*1.25*0.2</f>
        <v>37.25</v>
      </c>
      <c r="K787" s="13">
        <v>2050</v>
      </c>
      <c r="L787" s="13" t="s">
        <v>108</v>
      </c>
      <c r="M787" s="13">
        <v>0.15</v>
      </c>
      <c r="N787" s="13">
        <v>0.45</v>
      </c>
      <c r="O787" s="13">
        <v>0.73</v>
      </c>
      <c r="P787" s="8">
        <f>M787*K787*J787</f>
        <v>11454.375</v>
      </c>
      <c r="Q787" s="8">
        <f>N787*K787*J787</f>
        <v>34363.125</v>
      </c>
      <c r="R787" s="8">
        <f>O787*K787*J787</f>
        <v>55744.625</v>
      </c>
    </row>
    <row r="788" spans="1:18" ht="32" x14ac:dyDescent="0.2">
      <c r="A788" s="9" t="s">
        <v>9</v>
      </c>
      <c r="B788" s="10" t="s">
        <v>831</v>
      </c>
      <c r="C788" s="8">
        <v>1</v>
      </c>
      <c r="D788" s="11" t="s">
        <v>36</v>
      </c>
      <c r="E788" s="12">
        <v>297.07</v>
      </c>
      <c r="F788" s="12">
        <v>297.07</v>
      </c>
      <c r="G788" s="8">
        <v>500</v>
      </c>
      <c r="H788" s="8">
        <v>750</v>
      </c>
      <c r="I788" s="8">
        <v>1000</v>
      </c>
    </row>
    <row r="789" spans="1:18" ht="48" x14ac:dyDescent="0.2">
      <c r="A789" s="9" t="s">
        <v>10</v>
      </c>
      <c r="B789" s="10" t="s">
        <v>832</v>
      </c>
      <c r="C789" s="8">
        <v>149</v>
      </c>
      <c r="D789" s="11" t="s">
        <v>34</v>
      </c>
      <c r="E789" s="12">
        <v>38.89</v>
      </c>
      <c r="F789" s="12">
        <v>5794.61</v>
      </c>
      <c r="G789" s="8">
        <v>500</v>
      </c>
      <c r="H789" s="8">
        <v>750</v>
      </c>
      <c r="I789" s="8">
        <v>1000</v>
      </c>
      <c r="J789" s="8">
        <f>C789*0.2*1.25</f>
        <v>37.25</v>
      </c>
      <c r="K789" s="13">
        <v>2050</v>
      </c>
      <c r="L789" s="13" t="s">
        <v>108</v>
      </c>
      <c r="M789" s="13">
        <v>0.15</v>
      </c>
      <c r="N789" s="13">
        <v>0.45</v>
      </c>
      <c r="O789" s="13">
        <v>0.73</v>
      </c>
      <c r="P789" s="8">
        <f>M789*K789*J789</f>
        <v>11454.375</v>
      </c>
      <c r="Q789" s="8">
        <f>N789*K789*J789</f>
        <v>34363.125</v>
      </c>
      <c r="R789" s="8">
        <f>O789*K789*J789</f>
        <v>55744.625</v>
      </c>
    </row>
    <row r="790" spans="1:18" ht="48" x14ac:dyDescent="0.2">
      <c r="A790" s="9" t="s">
        <v>11</v>
      </c>
      <c r="B790" s="10" t="s">
        <v>833</v>
      </c>
      <c r="C790" s="8">
        <v>256</v>
      </c>
      <c r="D790" s="11" t="s">
        <v>34</v>
      </c>
      <c r="E790" s="12">
        <v>38.89</v>
      </c>
      <c r="F790" s="12">
        <v>9955.84</v>
      </c>
      <c r="G790" s="8">
        <v>500</v>
      </c>
      <c r="H790" s="8">
        <v>750</v>
      </c>
      <c r="I790" s="8">
        <v>1000</v>
      </c>
      <c r="J790" s="8">
        <f>C790*0.2*1.25</f>
        <v>64</v>
      </c>
      <c r="K790" s="13">
        <v>2050</v>
      </c>
      <c r="L790" s="13" t="s">
        <v>108</v>
      </c>
      <c r="M790" s="13">
        <v>0.15</v>
      </c>
      <c r="N790" s="13">
        <v>0.45</v>
      </c>
      <c r="O790" s="13">
        <v>0.73</v>
      </c>
      <c r="P790" s="8">
        <f>M790*K790*J790</f>
        <v>19680</v>
      </c>
      <c r="Q790" s="8">
        <f>N790*K790*J790</f>
        <v>59040</v>
      </c>
      <c r="R790" s="8">
        <f>O790*K790*J790</f>
        <v>95776</v>
      </c>
    </row>
    <row r="791" spans="1:18" ht="48" x14ac:dyDescent="0.2">
      <c r="A791" s="9" t="s">
        <v>12</v>
      </c>
      <c r="B791" s="10" t="s">
        <v>834</v>
      </c>
      <c r="C791" s="8">
        <v>48</v>
      </c>
      <c r="D791" s="11" t="s">
        <v>34</v>
      </c>
      <c r="E791" s="12">
        <v>38.89</v>
      </c>
      <c r="F791" s="12">
        <v>1866.72</v>
      </c>
      <c r="G791" s="8">
        <v>500</v>
      </c>
      <c r="H791" s="8">
        <v>750</v>
      </c>
      <c r="I791" s="8">
        <v>1000</v>
      </c>
      <c r="J791" s="8">
        <f>C791*0.2*1.25</f>
        <v>12.000000000000002</v>
      </c>
      <c r="K791" s="13">
        <v>2050</v>
      </c>
      <c r="L791" s="13" t="s">
        <v>108</v>
      </c>
      <c r="M791" s="13">
        <v>0.15</v>
      </c>
      <c r="N791" s="13">
        <v>0.45</v>
      </c>
      <c r="O791" s="13">
        <v>0.73</v>
      </c>
      <c r="P791" s="8">
        <f>M791*K791*J791</f>
        <v>3690.0000000000005</v>
      </c>
      <c r="Q791" s="8">
        <f>N791*K791*J791</f>
        <v>11070.000000000002</v>
      </c>
      <c r="R791" s="8">
        <f>O791*K791*J791</f>
        <v>17958.000000000004</v>
      </c>
    </row>
    <row r="792" spans="1:18" ht="48" x14ac:dyDescent="0.2">
      <c r="A792" s="9" t="s">
        <v>13</v>
      </c>
      <c r="B792" s="10" t="s">
        <v>833</v>
      </c>
      <c r="C792" s="8">
        <v>208</v>
      </c>
      <c r="D792" s="11" t="s">
        <v>34</v>
      </c>
      <c r="E792" s="12">
        <v>38.89</v>
      </c>
      <c r="F792" s="12">
        <v>8089.12</v>
      </c>
      <c r="G792" s="8">
        <v>500</v>
      </c>
      <c r="H792" s="8">
        <v>750</v>
      </c>
      <c r="I792" s="8">
        <v>1000</v>
      </c>
      <c r="J792" s="8">
        <f>C792*0.2*1.25</f>
        <v>52</v>
      </c>
      <c r="K792" s="13">
        <v>2050</v>
      </c>
      <c r="L792" s="13" t="s">
        <v>108</v>
      </c>
      <c r="M792" s="13">
        <v>0.15</v>
      </c>
      <c r="N792" s="13">
        <v>0.45</v>
      </c>
      <c r="O792" s="13">
        <v>0.73</v>
      </c>
      <c r="P792" s="8">
        <f>M792*K792*J792</f>
        <v>15990</v>
      </c>
      <c r="Q792" s="8">
        <f>N792*K792*J792</f>
        <v>47970</v>
      </c>
      <c r="R792" s="8">
        <f>O792*K792*J792</f>
        <v>77818</v>
      </c>
    </row>
    <row r="793" spans="1:18" ht="48" x14ac:dyDescent="0.2">
      <c r="A793" s="9" t="s">
        <v>14</v>
      </c>
      <c r="B793" s="10" t="s">
        <v>835</v>
      </c>
      <c r="C793" s="8">
        <v>89</v>
      </c>
      <c r="D793" s="11" t="s">
        <v>34</v>
      </c>
      <c r="E793" s="12">
        <v>38.89</v>
      </c>
      <c r="F793" s="12">
        <v>3461.21</v>
      </c>
      <c r="G793" s="8">
        <v>500</v>
      </c>
      <c r="H793" s="8">
        <v>750</v>
      </c>
      <c r="I793" s="8">
        <v>1000</v>
      </c>
      <c r="J793" s="8">
        <f>C793*1.25*0.2</f>
        <v>22.25</v>
      </c>
      <c r="K793" s="13">
        <v>2050</v>
      </c>
      <c r="L793" s="13" t="s">
        <v>108</v>
      </c>
      <c r="M793" s="13">
        <v>0.15</v>
      </c>
      <c r="N793" s="13">
        <v>0.45</v>
      </c>
      <c r="O793" s="13">
        <v>0.73</v>
      </c>
      <c r="P793" s="8">
        <f>M793*K793*J793</f>
        <v>6841.875</v>
      </c>
      <c r="Q793" s="8">
        <f>N793*K793*J793</f>
        <v>20525.625</v>
      </c>
      <c r="R793" s="8">
        <f>O793*K793*J793</f>
        <v>33297.125</v>
      </c>
    </row>
    <row r="794" spans="1:18" ht="16" x14ac:dyDescent="0.2">
      <c r="A794" s="9" t="s">
        <v>15</v>
      </c>
      <c r="B794" s="10" t="s">
        <v>836</v>
      </c>
      <c r="C794" s="8">
        <v>1</v>
      </c>
      <c r="D794" s="11" t="s">
        <v>7</v>
      </c>
      <c r="E794" s="12">
        <v>199.84</v>
      </c>
      <c r="F794" s="12">
        <v>199.84</v>
      </c>
      <c r="G794" s="8">
        <v>1</v>
      </c>
      <c r="H794" s="8">
        <v>1</v>
      </c>
      <c r="I794" s="8">
        <v>1</v>
      </c>
    </row>
    <row r="795" spans="1:18" ht="32" x14ac:dyDescent="0.2">
      <c r="A795" s="9" t="s">
        <v>6</v>
      </c>
      <c r="B795" s="10" t="s">
        <v>837</v>
      </c>
      <c r="C795" s="8">
        <v>304</v>
      </c>
      <c r="D795" s="11" t="s">
        <v>34</v>
      </c>
      <c r="E795" s="12">
        <v>11.88</v>
      </c>
      <c r="F795" s="12">
        <v>3611.52</v>
      </c>
      <c r="G795" s="8">
        <v>500</v>
      </c>
      <c r="H795" s="8">
        <v>750</v>
      </c>
      <c r="I795" s="8">
        <v>1000</v>
      </c>
      <c r="J795" s="8">
        <f>C795*0.2*0.2</f>
        <v>12.160000000000002</v>
      </c>
      <c r="K795" s="13">
        <v>2050</v>
      </c>
      <c r="L795" s="13" t="s">
        <v>108</v>
      </c>
      <c r="M795" s="13">
        <v>0.15</v>
      </c>
      <c r="N795" s="13">
        <v>0.45</v>
      </c>
      <c r="O795" s="13">
        <v>0.73</v>
      </c>
      <c r="P795" s="8">
        <f t="shared" ref="P795:P802" si="237">M795*K795*J795</f>
        <v>3739.2000000000007</v>
      </c>
      <c r="Q795" s="8">
        <f t="shared" ref="Q795:Q802" si="238">N795*K795*J795</f>
        <v>11217.600000000002</v>
      </c>
      <c r="R795" s="8">
        <f t="shared" ref="R795:R802" si="239">O795*K795*J795</f>
        <v>18197.440000000002</v>
      </c>
    </row>
    <row r="796" spans="1:18" ht="32" x14ac:dyDescent="0.2">
      <c r="A796" s="9" t="s">
        <v>9</v>
      </c>
      <c r="B796" s="10" t="s">
        <v>838</v>
      </c>
      <c r="C796" s="8">
        <v>298</v>
      </c>
      <c r="D796" s="11" t="s">
        <v>34</v>
      </c>
      <c r="E796" s="12">
        <v>11.88</v>
      </c>
      <c r="F796" s="12">
        <v>3540.24</v>
      </c>
      <c r="G796" s="8">
        <v>500</v>
      </c>
      <c r="H796" s="8">
        <v>750</v>
      </c>
      <c r="I796" s="8">
        <v>1000</v>
      </c>
      <c r="J796" s="8">
        <f>C796*0.2*0.2</f>
        <v>11.920000000000002</v>
      </c>
      <c r="K796" s="13">
        <v>2050</v>
      </c>
      <c r="L796" s="13" t="s">
        <v>108</v>
      </c>
      <c r="M796" s="13">
        <v>0.15</v>
      </c>
      <c r="N796" s="13">
        <v>0.45</v>
      </c>
      <c r="O796" s="13">
        <v>0.73</v>
      </c>
      <c r="P796" s="8">
        <f t="shared" si="237"/>
        <v>3665.4000000000005</v>
      </c>
      <c r="Q796" s="8">
        <f t="shared" si="238"/>
        <v>10996.2</v>
      </c>
      <c r="R796" s="8">
        <f t="shared" si="239"/>
        <v>17838.280000000002</v>
      </c>
    </row>
    <row r="797" spans="1:18" ht="48" x14ac:dyDescent="0.2">
      <c r="A797" s="9" t="s">
        <v>10</v>
      </c>
      <c r="B797" s="10" t="s">
        <v>839</v>
      </c>
      <c r="C797" s="8">
        <v>298</v>
      </c>
      <c r="D797" s="11" t="s">
        <v>34</v>
      </c>
      <c r="E797" s="12">
        <v>11.88</v>
      </c>
      <c r="F797" s="12">
        <v>3540.24</v>
      </c>
      <c r="G797" s="8">
        <v>500</v>
      </c>
      <c r="H797" s="8">
        <v>750</v>
      </c>
      <c r="I797" s="8">
        <v>1000</v>
      </c>
      <c r="J797" s="8">
        <f>C797*0.2*0.2</f>
        <v>11.920000000000002</v>
      </c>
      <c r="K797" s="13">
        <v>2050</v>
      </c>
      <c r="L797" s="13" t="s">
        <v>108</v>
      </c>
      <c r="M797" s="13">
        <v>0.15</v>
      </c>
      <c r="N797" s="13">
        <v>0.45</v>
      </c>
      <c r="O797" s="13">
        <v>0.73</v>
      </c>
      <c r="P797" s="8">
        <f t="shared" si="237"/>
        <v>3665.4000000000005</v>
      </c>
      <c r="Q797" s="8">
        <f t="shared" si="238"/>
        <v>10996.2</v>
      </c>
      <c r="R797" s="8">
        <f t="shared" si="239"/>
        <v>17838.280000000002</v>
      </c>
    </row>
    <row r="798" spans="1:18" ht="48" x14ac:dyDescent="0.2">
      <c r="A798" s="9" t="s">
        <v>11</v>
      </c>
      <c r="B798" s="10" t="s">
        <v>840</v>
      </c>
      <c r="C798" s="8">
        <v>89</v>
      </c>
      <c r="D798" s="11" t="s">
        <v>34</v>
      </c>
      <c r="E798" s="12">
        <v>11.88</v>
      </c>
      <c r="F798" s="12">
        <v>1057.32</v>
      </c>
      <c r="G798" s="8">
        <v>500</v>
      </c>
      <c r="H798" s="8">
        <v>750</v>
      </c>
      <c r="I798" s="8">
        <v>1000</v>
      </c>
      <c r="J798" s="8">
        <f>C798*0.2*0.2</f>
        <v>3.5600000000000005</v>
      </c>
      <c r="K798" s="13">
        <v>2050</v>
      </c>
      <c r="L798" s="13" t="s">
        <v>108</v>
      </c>
      <c r="M798" s="13">
        <v>0.15</v>
      </c>
      <c r="N798" s="13">
        <v>0.45</v>
      </c>
      <c r="O798" s="13">
        <v>0.73</v>
      </c>
      <c r="P798" s="8">
        <f t="shared" si="237"/>
        <v>1094.7</v>
      </c>
      <c r="Q798" s="8">
        <f t="shared" si="238"/>
        <v>3284.1000000000004</v>
      </c>
      <c r="R798" s="8">
        <f t="shared" si="239"/>
        <v>5327.5400000000009</v>
      </c>
    </row>
    <row r="799" spans="1:18" ht="16" x14ac:dyDescent="0.2">
      <c r="A799" s="9" t="s">
        <v>12</v>
      </c>
      <c r="B799" s="10" t="s">
        <v>841</v>
      </c>
      <c r="C799" s="8">
        <v>304</v>
      </c>
      <c r="D799" s="11" t="s">
        <v>34</v>
      </c>
      <c r="E799" s="12">
        <v>8.64</v>
      </c>
      <c r="F799" s="12">
        <v>2626.56</v>
      </c>
      <c r="G799" s="8">
        <v>18</v>
      </c>
      <c r="H799" s="8">
        <v>24</v>
      </c>
      <c r="I799" s="8">
        <v>34</v>
      </c>
      <c r="J799" s="8">
        <f>C799*3.14*0.1*0.005</f>
        <v>0.47728000000000009</v>
      </c>
      <c r="K799" s="8">
        <v>940</v>
      </c>
      <c r="M799" s="8">
        <f>83.1*0.7</f>
        <v>58.169999999999995</v>
      </c>
      <c r="N799" s="8">
        <v>83.1</v>
      </c>
      <c r="O799" s="8">
        <f>83.1*1.3</f>
        <v>108.03</v>
      </c>
      <c r="P799" s="8">
        <f t="shared" si="237"/>
        <v>26097.574944000004</v>
      </c>
      <c r="Q799" s="8">
        <f t="shared" si="238"/>
        <v>37282.249920000009</v>
      </c>
      <c r="R799" s="8">
        <f t="shared" si="239"/>
        <v>48466.924896000011</v>
      </c>
    </row>
    <row r="800" spans="1:18" ht="16" x14ac:dyDescent="0.2">
      <c r="A800" s="9" t="s">
        <v>13</v>
      </c>
      <c r="B800" s="10" t="s">
        <v>842</v>
      </c>
      <c r="C800" s="8">
        <v>298</v>
      </c>
      <c r="D800" s="11" t="s">
        <v>34</v>
      </c>
      <c r="E800" s="12">
        <v>8.64</v>
      </c>
      <c r="F800" s="12">
        <v>2574.7199999999998</v>
      </c>
      <c r="G800" s="8">
        <v>18</v>
      </c>
      <c r="H800" s="8">
        <v>24</v>
      </c>
      <c r="I800" s="8">
        <v>34</v>
      </c>
      <c r="J800" s="8">
        <f>C800*3.14*0.1*0.005</f>
        <v>0.46786</v>
      </c>
      <c r="K800" s="8">
        <v>940</v>
      </c>
      <c r="M800" s="8">
        <f>83.1*0.7</f>
        <v>58.169999999999995</v>
      </c>
      <c r="N800" s="8">
        <v>83.1</v>
      </c>
      <c r="O800" s="8">
        <f>83.1*1.3</f>
        <v>108.03</v>
      </c>
      <c r="P800" s="8">
        <f t="shared" si="237"/>
        <v>25582.491227999999</v>
      </c>
      <c r="Q800" s="8">
        <f t="shared" si="238"/>
        <v>36546.416039999996</v>
      </c>
      <c r="R800" s="8">
        <f t="shared" si="239"/>
        <v>47510.340852000001</v>
      </c>
    </row>
    <row r="801" spans="1:18" ht="32" x14ac:dyDescent="0.2">
      <c r="A801" s="9" t="s">
        <v>14</v>
      </c>
      <c r="B801" s="10" t="s">
        <v>843</v>
      </c>
      <c r="C801" s="8">
        <v>298</v>
      </c>
      <c r="D801" s="11" t="s">
        <v>34</v>
      </c>
      <c r="E801" s="12">
        <v>8.64</v>
      </c>
      <c r="F801" s="12">
        <v>2574.7199999999998</v>
      </c>
      <c r="G801" s="8">
        <v>18</v>
      </c>
      <c r="H801" s="8">
        <v>24</v>
      </c>
      <c r="I801" s="8">
        <v>34</v>
      </c>
      <c r="J801" s="8">
        <f>C801*0.1*3.14*0.005</f>
        <v>0.46786</v>
      </c>
      <c r="K801" s="8">
        <v>940</v>
      </c>
      <c r="M801" s="8">
        <f>83.1*0.7</f>
        <v>58.169999999999995</v>
      </c>
      <c r="N801" s="8">
        <v>83.1</v>
      </c>
      <c r="O801" s="8">
        <f>83.1*1.3</f>
        <v>108.03</v>
      </c>
      <c r="P801" s="8">
        <f t="shared" si="237"/>
        <v>25582.491227999999</v>
      </c>
      <c r="Q801" s="8">
        <f t="shared" si="238"/>
        <v>36546.416039999996</v>
      </c>
      <c r="R801" s="8">
        <f t="shared" si="239"/>
        <v>47510.340852000001</v>
      </c>
    </row>
    <row r="802" spans="1:18" ht="32" x14ac:dyDescent="0.2">
      <c r="A802" s="9" t="s">
        <v>15</v>
      </c>
      <c r="B802" s="10" t="s">
        <v>844</v>
      </c>
      <c r="C802" s="8">
        <v>89</v>
      </c>
      <c r="D802" s="11" t="s">
        <v>34</v>
      </c>
      <c r="E802" s="12">
        <v>8.64</v>
      </c>
      <c r="F802" s="12">
        <v>768.96</v>
      </c>
      <c r="G802" s="8">
        <v>18</v>
      </c>
      <c r="H802" s="8">
        <v>24</v>
      </c>
      <c r="I802" s="8">
        <v>34</v>
      </c>
      <c r="J802" s="8">
        <f>C802*0.05*3.14*0.005</f>
        <v>6.986500000000001E-2</v>
      </c>
      <c r="K802" s="8">
        <v>940</v>
      </c>
      <c r="M802" s="8">
        <f>83.1*0.7</f>
        <v>58.169999999999995</v>
      </c>
      <c r="N802" s="8">
        <v>83.1</v>
      </c>
      <c r="O802" s="8">
        <f>83.1*1.3</f>
        <v>108.03</v>
      </c>
      <c r="P802" s="8">
        <f t="shared" si="237"/>
        <v>3820.2042270000002</v>
      </c>
      <c r="Q802" s="8">
        <f t="shared" si="238"/>
        <v>5457.4346100000012</v>
      </c>
      <c r="R802" s="8">
        <f t="shared" si="239"/>
        <v>7094.6649930000012</v>
      </c>
    </row>
    <row r="803" spans="1:18" ht="32" x14ac:dyDescent="0.2">
      <c r="A803" s="9" t="s">
        <v>16</v>
      </c>
      <c r="B803" s="10" t="s">
        <v>845</v>
      </c>
      <c r="C803" s="8">
        <v>22</v>
      </c>
      <c r="D803" s="11" t="s">
        <v>36</v>
      </c>
      <c r="E803" s="12">
        <v>51.85</v>
      </c>
      <c r="F803" s="12">
        <v>1140.7</v>
      </c>
      <c r="G803" s="8">
        <v>500</v>
      </c>
      <c r="H803" s="8">
        <v>750</v>
      </c>
      <c r="I803" s="8">
        <v>1000</v>
      </c>
    </row>
    <row r="804" spans="1:18" ht="32" x14ac:dyDescent="0.2">
      <c r="A804" s="9" t="s">
        <v>17</v>
      </c>
      <c r="B804" s="10" t="s">
        <v>846</v>
      </c>
      <c r="C804" s="8">
        <v>3</v>
      </c>
      <c r="D804" s="11" t="s">
        <v>36</v>
      </c>
      <c r="E804" s="12">
        <v>51.85</v>
      </c>
      <c r="F804" s="12">
        <v>155.55000000000001</v>
      </c>
      <c r="G804" s="8">
        <v>500</v>
      </c>
      <c r="H804" s="8">
        <v>750</v>
      </c>
      <c r="I804" s="8">
        <v>1000</v>
      </c>
    </row>
    <row r="805" spans="1:18" ht="32" x14ac:dyDescent="0.2">
      <c r="A805" s="9" t="s">
        <v>18</v>
      </c>
      <c r="B805" s="10" t="s">
        <v>847</v>
      </c>
      <c r="C805" s="8">
        <v>3</v>
      </c>
      <c r="D805" s="11" t="s">
        <v>36</v>
      </c>
      <c r="E805" s="12">
        <v>51.85</v>
      </c>
      <c r="F805" s="12">
        <v>155.55000000000001</v>
      </c>
      <c r="G805" s="8">
        <v>500</v>
      </c>
      <c r="H805" s="8">
        <v>750</v>
      </c>
      <c r="I805" s="8">
        <v>1000</v>
      </c>
    </row>
    <row r="806" spans="1:18" ht="32" x14ac:dyDescent="0.2">
      <c r="A806" s="9" t="s">
        <v>19</v>
      </c>
      <c r="B806" s="10" t="s">
        <v>848</v>
      </c>
      <c r="C806" s="8">
        <v>6</v>
      </c>
      <c r="D806" s="11" t="s">
        <v>36</v>
      </c>
      <c r="E806" s="12">
        <v>51.85</v>
      </c>
      <c r="F806" s="12">
        <v>311.10000000000002</v>
      </c>
      <c r="G806" s="8">
        <v>500</v>
      </c>
      <c r="H806" s="8">
        <v>750</v>
      </c>
      <c r="I806" s="8">
        <v>1000</v>
      </c>
    </row>
    <row r="807" spans="1:18" ht="16" x14ac:dyDescent="0.2">
      <c r="A807" s="9" t="s">
        <v>20</v>
      </c>
      <c r="B807" s="10" t="s">
        <v>849</v>
      </c>
      <c r="C807" s="8">
        <v>11</v>
      </c>
      <c r="D807" s="11" t="s">
        <v>36</v>
      </c>
      <c r="E807" s="12">
        <v>0</v>
      </c>
      <c r="F807" s="12">
        <v>0</v>
      </c>
    </row>
    <row r="808" spans="1:18" ht="32" x14ac:dyDescent="0.2">
      <c r="A808" s="9" t="s">
        <v>6</v>
      </c>
      <c r="B808" s="10" t="s">
        <v>850</v>
      </c>
      <c r="C808" s="8">
        <v>6</v>
      </c>
      <c r="D808" s="11" t="s">
        <v>36</v>
      </c>
      <c r="E808" s="12">
        <v>59.41</v>
      </c>
      <c r="F808" s="12">
        <v>356.46</v>
      </c>
      <c r="G808" s="8">
        <v>1</v>
      </c>
      <c r="H808" s="8">
        <v>1</v>
      </c>
      <c r="I808" s="8">
        <v>1</v>
      </c>
    </row>
    <row r="809" spans="1:18" ht="16" x14ac:dyDescent="0.2">
      <c r="A809" s="9" t="s">
        <v>9</v>
      </c>
      <c r="B809" s="10" t="s">
        <v>851</v>
      </c>
      <c r="C809" s="8">
        <v>394</v>
      </c>
      <c r="D809" s="11" t="s">
        <v>34</v>
      </c>
      <c r="E809" s="12">
        <v>1.08</v>
      </c>
      <c r="F809" s="12">
        <v>425.52</v>
      </c>
      <c r="G809" s="8">
        <v>1</v>
      </c>
      <c r="H809" s="8">
        <v>1</v>
      </c>
      <c r="I809" s="8">
        <v>1</v>
      </c>
    </row>
    <row r="810" spans="1:18" ht="32" x14ac:dyDescent="0.2">
      <c r="A810" s="9" t="s">
        <v>10</v>
      </c>
      <c r="B810" s="10" t="s">
        <v>852</v>
      </c>
      <c r="C810" s="8">
        <v>592</v>
      </c>
      <c r="D810" s="11" t="s">
        <v>34</v>
      </c>
      <c r="E810" s="12">
        <v>1.08</v>
      </c>
      <c r="F810" s="12">
        <v>639.36</v>
      </c>
      <c r="G810" s="8">
        <v>1</v>
      </c>
      <c r="H810" s="8">
        <v>1</v>
      </c>
      <c r="I810" s="8">
        <v>1</v>
      </c>
    </row>
    <row r="811" spans="1:18" ht="48" x14ac:dyDescent="0.2">
      <c r="A811" s="9" t="s">
        <v>11</v>
      </c>
      <c r="B811" s="10" t="s">
        <v>853</v>
      </c>
      <c r="C811" s="8">
        <v>1</v>
      </c>
      <c r="D811" s="11" t="s">
        <v>7</v>
      </c>
      <c r="E811" s="12">
        <v>0</v>
      </c>
      <c r="F811" s="12">
        <v>0</v>
      </c>
    </row>
    <row r="812" spans="1:18" ht="48" x14ac:dyDescent="0.2">
      <c r="A812" s="9" t="s">
        <v>12</v>
      </c>
      <c r="B812" s="10" t="s">
        <v>854</v>
      </c>
      <c r="C812" s="8">
        <v>1</v>
      </c>
      <c r="D812" s="11" t="s">
        <v>7</v>
      </c>
      <c r="E812" s="12">
        <v>0</v>
      </c>
      <c r="F812" s="12">
        <v>0</v>
      </c>
    </row>
    <row r="813" spans="1:18" ht="64" x14ac:dyDescent="0.2">
      <c r="A813" s="9" t="s">
        <v>13</v>
      </c>
      <c r="B813" s="10" t="s">
        <v>855</v>
      </c>
      <c r="C813" s="8">
        <v>1</v>
      </c>
      <c r="D813" s="11" t="s">
        <v>7</v>
      </c>
      <c r="E813" s="12">
        <v>0</v>
      </c>
      <c r="F813" s="12">
        <v>0</v>
      </c>
    </row>
    <row r="814" spans="1:18" ht="48" x14ac:dyDescent="0.2">
      <c r="A814" s="9" t="s">
        <v>14</v>
      </c>
      <c r="B814" s="10" t="s">
        <v>856</v>
      </c>
      <c r="C814" s="8">
        <v>1</v>
      </c>
      <c r="D814" s="11" t="s">
        <v>7</v>
      </c>
      <c r="E814" s="12">
        <v>0</v>
      </c>
      <c r="F814" s="12">
        <v>0</v>
      </c>
    </row>
    <row r="815" spans="1:18" ht="64" x14ac:dyDescent="0.2">
      <c r="A815" s="9" t="s">
        <v>15</v>
      </c>
      <c r="B815" s="10" t="s">
        <v>857</v>
      </c>
      <c r="C815" s="8">
        <v>1</v>
      </c>
      <c r="D815" s="11" t="s">
        <v>7</v>
      </c>
      <c r="E815" s="12">
        <v>0</v>
      </c>
      <c r="F815" s="12">
        <v>0</v>
      </c>
    </row>
    <row r="816" spans="1:18" ht="48" x14ac:dyDescent="0.2">
      <c r="A816" s="9" t="s">
        <v>16</v>
      </c>
      <c r="B816" s="10" t="s">
        <v>858</v>
      </c>
      <c r="C816" s="8">
        <v>1</v>
      </c>
      <c r="D816" s="11" t="s">
        <v>7</v>
      </c>
      <c r="E816" s="12">
        <v>0</v>
      </c>
      <c r="F816" s="12">
        <v>0</v>
      </c>
    </row>
    <row r="817" spans="1:18" ht="64" x14ac:dyDescent="0.2">
      <c r="A817" s="9" t="s">
        <v>17</v>
      </c>
      <c r="B817" s="10" t="s">
        <v>859</v>
      </c>
      <c r="C817" s="8">
        <v>1</v>
      </c>
      <c r="D817" s="11" t="s">
        <v>7</v>
      </c>
      <c r="E817" s="12">
        <v>0</v>
      </c>
      <c r="F817" s="12">
        <v>0</v>
      </c>
    </row>
    <row r="818" spans="1:18" x14ac:dyDescent="0.2">
      <c r="B818" s="17" t="s">
        <v>860</v>
      </c>
      <c r="C818" s="8">
        <v>10</v>
      </c>
      <c r="D818" s="11" t="s">
        <v>7</v>
      </c>
      <c r="E818" s="18">
        <v>150</v>
      </c>
      <c r="F818" s="12">
        <f>E818*C818</f>
        <v>1500</v>
      </c>
      <c r="G818" s="8">
        <v>10</v>
      </c>
      <c r="H818" s="8">
        <v>20</v>
      </c>
      <c r="I818" s="8">
        <v>30</v>
      </c>
      <c r="P818" s="19">
        <f>211.88/3*10</f>
        <v>706.26666666666665</v>
      </c>
      <c r="Q818" s="19">
        <f>847.5/3*10</f>
        <v>2825</v>
      </c>
      <c r="R818" s="19">
        <f>2466.23/3*10</f>
        <v>8220.7666666666664</v>
      </c>
    </row>
    <row r="819" spans="1:18" x14ac:dyDescent="0.2">
      <c r="B819" s="17" t="s">
        <v>861</v>
      </c>
      <c r="C819" s="8">
        <v>10</v>
      </c>
      <c r="D819" s="11" t="s">
        <v>7</v>
      </c>
      <c r="E819" s="18">
        <v>150</v>
      </c>
      <c r="F819" s="12">
        <f t="shared" ref="F819:F852" si="240">E819*C819</f>
        <v>1500</v>
      </c>
      <c r="G819" s="8">
        <v>10</v>
      </c>
      <c r="H819" s="8">
        <v>15</v>
      </c>
      <c r="I819" s="8">
        <v>20</v>
      </c>
      <c r="P819" s="8">
        <f>97.888*10</f>
        <v>978.88000000000011</v>
      </c>
      <c r="Q819" s="8">
        <f>139.84*10</f>
        <v>1398.4</v>
      </c>
      <c r="R819" s="8">
        <f>181.792*10</f>
        <v>1817.92</v>
      </c>
    </row>
    <row r="820" spans="1:18" x14ac:dyDescent="0.2">
      <c r="B820" s="17" t="s">
        <v>862</v>
      </c>
      <c r="C820" s="8">
        <v>10</v>
      </c>
      <c r="D820" s="11" t="s">
        <v>7</v>
      </c>
      <c r="E820" s="18">
        <v>60</v>
      </c>
      <c r="F820" s="12">
        <f t="shared" si="240"/>
        <v>600</v>
      </c>
      <c r="G820" s="8">
        <v>15</v>
      </c>
      <c r="H820" s="8">
        <v>20</v>
      </c>
      <c r="I820" s="8">
        <v>25</v>
      </c>
      <c r="P820" s="8">
        <f>135/3*10</f>
        <v>450</v>
      </c>
      <c r="Q820" s="8">
        <f>540/3*10</f>
        <v>1800</v>
      </c>
      <c r="R820" s="8">
        <f>1571.4/3*10</f>
        <v>5238.0000000000009</v>
      </c>
    </row>
    <row r="821" spans="1:18" x14ac:dyDescent="0.2">
      <c r="B821" s="17" t="s">
        <v>863</v>
      </c>
      <c r="C821" s="8">
        <v>10</v>
      </c>
      <c r="D821" s="11" t="s">
        <v>7</v>
      </c>
      <c r="E821" s="18">
        <v>20</v>
      </c>
      <c r="F821" s="12">
        <f t="shared" si="240"/>
        <v>200</v>
      </c>
      <c r="G821" s="8">
        <v>10</v>
      </c>
      <c r="H821" s="8">
        <v>20</v>
      </c>
      <c r="I821" s="8">
        <v>30</v>
      </c>
      <c r="P821" s="8">
        <f>210/3*10</f>
        <v>700</v>
      </c>
      <c r="Q821" s="8">
        <f>300/3*10</f>
        <v>1000</v>
      </c>
      <c r="R821" s="8">
        <f>390/3*10</f>
        <v>1300</v>
      </c>
    </row>
    <row r="822" spans="1:18" x14ac:dyDescent="0.2">
      <c r="B822" s="17" t="s">
        <v>864</v>
      </c>
      <c r="C822" s="8">
        <v>10</v>
      </c>
      <c r="D822" s="11" t="s">
        <v>7</v>
      </c>
      <c r="E822" s="18">
        <v>20</v>
      </c>
      <c r="F822" s="12">
        <f t="shared" si="240"/>
        <v>200</v>
      </c>
      <c r="G822" s="8">
        <v>10</v>
      </c>
      <c r="H822" s="8">
        <v>15</v>
      </c>
      <c r="I822" s="8">
        <v>20</v>
      </c>
    </row>
    <row r="823" spans="1:18" x14ac:dyDescent="0.2">
      <c r="B823" s="17" t="s">
        <v>865</v>
      </c>
      <c r="C823" s="8">
        <v>10</v>
      </c>
      <c r="D823" s="11" t="s">
        <v>7</v>
      </c>
      <c r="E823" s="18">
        <v>260</v>
      </c>
      <c r="F823" s="12">
        <f t="shared" si="240"/>
        <v>2600</v>
      </c>
      <c r="G823" s="8">
        <v>10</v>
      </c>
      <c r="H823" s="8">
        <v>20</v>
      </c>
      <c r="I823" s="8">
        <v>30</v>
      </c>
    </row>
    <row r="824" spans="1:18" ht="29" x14ac:dyDescent="0.2">
      <c r="B824" s="17" t="s">
        <v>866</v>
      </c>
      <c r="C824" s="8">
        <v>10</v>
      </c>
      <c r="D824" s="11" t="s">
        <v>7</v>
      </c>
      <c r="E824" s="18">
        <v>20</v>
      </c>
      <c r="F824" s="12">
        <f t="shared" si="240"/>
        <v>200</v>
      </c>
      <c r="G824" s="8">
        <v>3</v>
      </c>
      <c r="H824" s="8">
        <v>5</v>
      </c>
      <c r="I824" s="8">
        <v>7</v>
      </c>
      <c r="P824" s="8">
        <f>613.005/3*10</f>
        <v>2043.3500000000001</v>
      </c>
      <c r="Q824" s="8">
        <f>937.2/3*10</f>
        <v>3124.0000000000005</v>
      </c>
      <c r="R824" s="8">
        <f>1230.795/3*10</f>
        <v>4102.6500000000005</v>
      </c>
    </row>
    <row r="825" spans="1:18" x14ac:dyDescent="0.2">
      <c r="B825" s="17" t="s">
        <v>867</v>
      </c>
      <c r="C825" s="8">
        <v>10</v>
      </c>
      <c r="D825" s="11" t="s">
        <v>7</v>
      </c>
      <c r="E825" s="18">
        <v>500</v>
      </c>
      <c r="F825" s="12">
        <f t="shared" si="240"/>
        <v>5000</v>
      </c>
      <c r="G825" s="8">
        <v>5</v>
      </c>
      <c r="H825" s="8">
        <v>10</v>
      </c>
      <c r="I825" s="8">
        <v>15</v>
      </c>
      <c r="P825" s="20">
        <f>52079.4*10</f>
        <v>520794</v>
      </c>
      <c r="Q825" s="20">
        <f>53272.8*10</f>
        <v>532728</v>
      </c>
      <c r="R825" s="20">
        <f>54466.2*10</f>
        <v>544662</v>
      </c>
    </row>
    <row r="826" spans="1:18" ht="28" x14ac:dyDescent="0.2">
      <c r="B826" s="21" t="s">
        <v>868</v>
      </c>
      <c r="C826" s="8">
        <v>10</v>
      </c>
      <c r="D826" s="11" t="s">
        <v>7</v>
      </c>
      <c r="E826" s="18">
        <v>30</v>
      </c>
      <c r="F826" s="12">
        <f t="shared" si="240"/>
        <v>300</v>
      </c>
      <c r="G826" s="8">
        <v>20</v>
      </c>
      <c r="H826" s="8">
        <v>30</v>
      </c>
      <c r="I826" s="8">
        <v>40</v>
      </c>
      <c r="P826" s="8">
        <f>35.79446*10</f>
        <v>357.94460000000004</v>
      </c>
      <c r="Q826" s="8">
        <f>61.225*10</f>
        <v>612.25</v>
      </c>
      <c r="R826" s="8">
        <f>103.46052*10</f>
        <v>1034.6052</v>
      </c>
    </row>
    <row r="827" spans="1:18" ht="29" x14ac:dyDescent="0.2">
      <c r="B827" s="17" t="s">
        <v>869</v>
      </c>
      <c r="C827" s="8">
        <v>10</v>
      </c>
      <c r="D827" s="11" t="s">
        <v>7</v>
      </c>
      <c r="E827" s="18">
        <v>14</v>
      </c>
      <c r="F827" s="12">
        <f t="shared" si="240"/>
        <v>140</v>
      </c>
      <c r="G827" s="8">
        <v>0.6</v>
      </c>
      <c r="H827" s="8">
        <v>2</v>
      </c>
      <c r="I827" s="8">
        <v>4.2</v>
      </c>
      <c r="P827" s="8">
        <f>(2665.53191489362/29)*7*10</f>
        <v>6434.0425531914971</v>
      </c>
      <c r="Q827" s="8">
        <f>(4287.28595744681/29)*7*10</f>
        <v>10348.621276595748</v>
      </c>
      <c r="R827" s="8">
        <f>5909.04/29*7*10</f>
        <v>14263.199999999999</v>
      </c>
    </row>
    <row r="828" spans="1:18" x14ac:dyDescent="0.2">
      <c r="B828" s="17" t="s">
        <v>870</v>
      </c>
      <c r="C828" s="8">
        <v>10</v>
      </c>
      <c r="D828" s="11" t="s">
        <v>7</v>
      </c>
      <c r="E828" s="18">
        <v>40</v>
      </c>
      <c r="F828" s="12">
        <f t="shared" si="240"/>
        <v>400</v>
      </c>
      <c r="G828" s="8">
        <v>9</v>
      </c>
      <c r="H828" s="8">
        <v>13</v>
      </c>
      <c r="I828" s="8">
        <v>18</v>
      </c>
      <c r="P828" s="19">
        <f>265.08*10</f>
        <v>2650.7999999999997</v>
      </c>
      <c r="Q828" s="19">
        <f>265.08*10</f>
        <v>2650.7999999999997</v>
      </c>
      <c r="R828" s="19">
        <f>265.08*10</f>
        <v>2650.7999999999997</v>
      </c>
    </row>
    <row r="829" spans="1:18" x14ac:dyDescent="0.2">
      <c r="B829" s="21" t="s">
        <v>871</v>
      </c>
      <c r="C829" s="8">
        <v>10</v>
      </c>
      <c r="D829" s="11" t="s">
        <v>7</v>
      </c>
      <c r="E829" s="18">
        <v>100</v>
      </c>
      <c r="F829" s="12">
        <f t="shared" si="240"/>
        <v>1000</v>
      </c>
      <c r="G829" s="8">
        <v>10</v>
      </c>
      <c r="H829" s="8">
        <v>15</v>
      </c>
      <c r="I829" s="8">
        <v>25</v>
      </c>
      <c r="P829" s="8">
        <v>70351.235279999994</v>
      </c>
      <c r="Q829" s="8">
        <v>117252.0588</v>
      </c>
      <c r="R829" s="8">
        <v>164152.88232</v>
      </c>
    </row>
    <row r="830" spans="1:18" x14ac:dyDescent="0.2">
      <c r="B830" s="21" t="s">
        <v>872</v>
      </c>
      <c r="C830" s="8">
        <v>10</v>
      </c>
      <c r="D830" s="11" t="s">
        <v>7</v>
      </c>
      <c r="E830" s="18">
        <v>50</v>
      </c>
      <c r="F830" s="12">
        <f t="shared" si="240"/>
        <v>500</v>
      </c>
      <c r="G830" s="8">
        <v>5</v>
      </c>
      <c r="H830" s="8">
        <v>10</v>
      </c>
      <c r="I830" s="8">
        <v>15</v>
      </c>
      <c r="P830" s="8">
        <v>14470.541999999999</v>
      </c>
      <c r="Q830" s="8">
        <v>24117.57</v>
      </c>
      <c r="R830" s="8">
        <v>33764.597999999998</v>
      </c>
    </row>
    <row r="831" spans="1:18" x14ac:dyDescent="0.2">
      <c r="B831" s="21" t="s">
        <v>873</v>
      </c>
      <c r="C831" s="8">
        <v>10</v>
      </c>
      <c r="D831" s="11" t="s">
        <v>7</v>
      </c>
      <c r="E831" s="18">
        <v>60</v>
      </c>
      <c r="F831" s="12">
        <f t="shared" si="240"/>
        <v>600</v>
      </c>
      <c r="G831" s="8">
        <v>15</v>
      </c>
      <c r="H831" s="8">
        <v>20</v>
      </c>
      <c r="I831" s="8">
        <v>25</v>
      </c>
      <c r="P831" s="8">
        <v>450</v>
      </c>
      <c r="Q831" s="8">
        <v>1800</v>
      </c>
      <c r="R831" s="8">
        <v>5238.0000000000009</v>
      </c>
    </row>
    <row r="832" spans="1:18" x14ac:dyDescent="0.2">
      <c r="B832" s="21" t="s">
        <v>874</v>
      </c>
      <c r="C832" s="8">
        <v>10</v>
      </c>
      <c r="D832" s="11" t="s">
        <v>7</v>
      </c>
      <c r="E832" s="18">
        <v>20</v>
      </c>
      <c r="F832" s="12">
        <f t="shared" si="240"/>
        <v>200</v>
      </c>
      <c r="G832" s="8">
        <v>10</v>
      </c>
      <c r="H832" s="8">
        <v>20</v>
      </c>
      <c r="I832" s="8">
        <v>30</v>
      </c>
      <c r="P832" s="8">
        <v>700</v>
      </c>
      <c r="Q832" s="8">
        <v>1000</v>
      </c>
      <c r="R832" s="8">
        <v>1300</v>
      </c>
    </row>
    <row r="833" spans="2:18" x14ac:dyDescent="0.2">
      <c r="B833" s="22" t="s">
        <v>875</v>
      </c>
      <c r="C833" s="8">
        <v>10</v>
      </c>
      <c r="D833" s="11" t="s">
        <v>7</v>
      </c>
      <c r="E833" s="18">
        <v>160</v>
      </c>
      <c r="F833" s="12">
        <f t="shared" si="240"/>
        <v>1600</v>
      </c>
      <c r="G833" s="8">
        <v>7</v>
      </c>
      <c r="H833" s="8">
        <v>10</v>
      </c>
      <c r="I833" s="8">
        <v>13</v>
      </c>
      <c r="P833" s="19">
        <f>867.13*10</f>
        <v>8671.2999999999993</v>
      </c>
      <c r="Q833" s="19">
        <f>3312.79*10</f>
        <v>33127.9</v>
      </c>
      <c r="R833" s="19">
        <f>4402.02*10</f>
        <v>44020.200000000004</v>
      </c>
    </row>
    <row r="834" spans="2:18" x14ac:dyDescent="0.2">
      <c r="B834" s="17" t="s">
        <v>876</v>
      </c>
      <c r="C834" s="8">
        <v>10</v>
      </c>
      <c r="D834" s="11" t="s">
        <v>7</v>
      </c>
      <c r="E834" s="18">
        <v>120</v>
      </c>
      <c r="F834" s="12">
        <f t="shared" si="240"/>
        <v>1200</v>
      </c>
      <c r="G834" s="23">
        <v>12</v>
      </c>
      <c r="H834" s="23">
        <v>15</v>
      </c>
      <c r="I834" s="23">
        <v>20</v>
      </c>
      <c r="P834" s="8">
        <v>3401.2698</v>
      </c>
      <c r="Q834" s="8">
        <v>14949.267400000001</v>
      </c>
      <c r="R834" s="8">
        <v>22156.457900000001</v>
      </c>
    </row>
    <row r="835" spans="2:18" x14ac:dyDescent="0.2">
      <c r="B835" s="17" t="s">
        <v>877</v>
      </c>
      <c r="C835" s="8">
        <v>10</v>
      </c>
      <c r="D835" s="11" t="s">
        <v>7</v>
      </c>
      <c r="E835" s="18">
        <v>70</v>
      </c>
      <c r="F835" s="12">
        <f t="shared" si="240"/>
        <v>700</v>
      </c>
      <c r="G835" s="23">
        <v>15</v>
      </c>
      <c r="H835" s="23">
        <v>17</v>
      </c>
      <c r="I835" s="23">
        <v>19</v>
      </c>
      <c r="P835" s="8">
        <f>458.243*10</f>
        <v>4582.43</v>
      </c>
      <c r="Q835" s="8">
        <f>642.6215*10</f>
        <v>6426.2150000000001</v>
      </c>
      <c r="R835" s="8">
        <f>827*10</f>
        <v>8270</v>
      </c>
    </row>
    <row r="836" spans="2:18" x14ac:dyDescent="0.2">
      <c r="B836" s="17" t="s">
        <v>878</v>
      </c>
      <c r="C836" s="8">
        <v>10</v>
      </c>
      <c r="D836" s="11" t="s">
        <v>7</v>
      </c>
      <c r="E836" s="18">
        <v>50</v>
      </c>
      <c r="F836" s="12">
        <f t="shared" si="240"/>
        <v>500</v>
      </c>
      <c r="G836" s="23">
        <v>10</v>
      </c>
      <c r="H836" s="23">
        <v>14</v>
      </c>
      <c r="I836" s="23">
        <v>18</v>
      </c>
      <c r="P836" s="19">
        <f>632.65*10</f>
        <v>6326.5</v>
      </c>
      <c r="Q836" s="19">
        <f>632.65*10</f>
        <v>6326.5</v>
      </c>
      <c r="R836" s="19">
        <f>632.65*10</f>
        <v>6326.5</v>
      </c>
    </row>
    <row r="837" spans="2:18" x14ac:dyDescent="0.2">
      <c r="B837" s="17" t="s">
        <v>879</v>
      </c>
      <c r="C837" s="8">
        <v>10</v>
      </c>
      <c r="D837" s="11" t="s">
        <v>7</v>
      </c>
      <c r="E837" s="18">
        <v>15</v>
      </c>
      <c r="F837" s="12">
        <f t="shared" si="240"/>
        <v>150</v>
      </c>
      <c r="G837" s="23">
        <v>2</v>
      </c>
      <c r="H837" s="23">
        <v>4</v>
      </c>
      <c r="I837" s="23">
        <v>6</v>
      </c>
      <c r="P837" s="19">
        <f>33.9808*10</f>
        <v>339.80799999999999</v>
      </c>
      <c r="Q837" s="19">
        <f>89.08622*10</f>
        <v>890.86220000000003</v>
      </c>
      <c r="R837" s="19">
        <f>128.17971*10</f>
        <v>1281.7971</v>
      </c>
    </row>
    <row r="838" spans="2:18" x14ac:dyDescent="0.2">
      <c r="B838" s="17" t="s">
        <v>880</v>
      </c>
      <c r="C838" s="8">
        <v>10</v>
      </c>
      <c r="D838" s="11" t="s">
        <v>7</v>
      </c>
      <c r="E838" s="18">
        <v>10</v>
      </c>
      <c r="F838" s="12">
        <f t="shared" si="240"/>
        <v>100</v>
      </c>
      <c r="G838" s="24">
        <v>3</v>
      </c>
      <c r="H838" s="23">
        <v>4.4000000000000004</v>
      </c>
      <c r="I838" s="23">
        <v>9</v>
      </c>
      <c r="P838" s="8">
        <f>71.8912*10</f>
        <v>718.91200000000003</v>
      </c>
      <c r="Q838" s="8">
        <f>156.74728*10</f>
        <v>1567.4728</v>
      </c>
      <c r="R838" s="8">
        <f>210.68637*10</f>
        <v>2106.8636999999999</v>
      </c>
    </row>
    <row r="839" spans="2:18" x14ac:dyDescent="0.2">
      <c r="B839" s="17" t="s">
        <v>881</v>
      </c>
      <c r="C839" s="8">
        <v>10</v>
      </c>
      <c r="D839" s="11" t="s">
        <v>7</v>
      </c>
      <c r="E839" s="18">
        <v>40</v>
      </c>
      <c r="F839" s="12">
        <f t="shared" si="240"/>
        <v>400</v>
      </c>
      <c r="G839" s="23">
        <v>5</v>
      </c>
      <c r="H839" s="23">
        <v>8</v>
      </c>
      <c r="I839" s="23">
        <v>10</v>
      </c>
      <c r="P839" s="8">
        <v>10489.8</v>
      </c>
      <c r="Q839" s="8">
        <v>18537.153760000001</v>
      </c>
      <c r="R839" s="8">
        <v>21827.495719999999</v>
      </c>
    </row>
    <row r="840" spans="2:18" x14ac:dyDescent="0.2">
      <c r="B840" s="25" t="s">
        <v>882</v>
      </c>
      <c r="C840" s="8">
        <v>10</v>
      </c>
      <c r="D840" s="11" t="s">
        <v>7</v>
      </c>
      <c r="E840" s="18">
        <v>100</v>
      </c>
      <c r="F840" s="12">
        <f t="shared" si="240"/>
        <v>1000</v>
      </c>
      <c r="G840" s="23">
        <v>10</v>
      </c>
      <c r="H840" s="23">
        <v>12.5</v>
      </c>
      <c r="I840" s="23">
        <v>15</v>
      </c>
      <c r="P840" s="8">
        <f>5202.686*10</f>
        <v>52026.86</v>
      </c>
      <c r="Q840" s="8">
        <f>5301.343*10</f>
        <v>53013.43</v>
      </c>
      <c r="R840" s="8">
        <f>5400*10</f>
        <v>54000</v>
      </c>
    </row>
    <row r="841" spans="2:18" x14ac:dyDescent="0.2">
      <c r="B841" s="26" t="s">
        <v>883</v>
      </c>
      <c r="C841" s="8">
        <v>10</v>
      </c>
      <c r="D841" s="11" t="s">
        <v>7</v>
      </c>
      <c r="E841" s="18">
        <v>20</v>
      </c>
      <c r="F841" s="12">
        <f t="shared" si="240"/>
        <v>200</v>
      </c>
      <c r="G841" s="23">
        <v>4</v>
      </c>
      <c r="H841" s="23">
        <v>5.5</v>
      </c>
      <c r="I841" s="23">
        <v>7</v>
      </c>
      <c r="P841" s="8">
        <f>38.91965*10</f>
        <v>389.19649999999996</v>
      </c>
      <c r="Q841" s="8">
        <f>93.4025*10</f>
        <v>934.02500000000009</v>
      </c>
      <c r="R841" s="8">
        <f>134.65115*10</f>
        <v>1346.5115000000001</v>
      </c>
    </row>
    <row r="842" spans="2:18" x14ac:dyDescent="0.2">
      <c r="B842" s="26" t="s">
        <v>884</v>
      </c>
      <c r="C842" s="8">
        <v>10</v>
      </c>
      <c r="D842" s="11" t="s">
        <v>7</v>
      </c>
      <c r="E842" s="18">
        <v>250</v>
      </c>
      <c r="F842" s="12">
        <f t="shared" si="240"/>
        <v>2500</v>
      </c>
      <c r="G842" s="23">
        <v>5</v>
      </c>
      <c r="H842" s="23">
        <v>7.5</v>
      </c>
      <c r="I842" s="24">
        <v>10</v>
      </c>
      <c r="P842" s="8">
        <f>2654*10</f>
        <v>26540</v>
      </c>
      <c r="Q842" s="8">
        <f>3760*10</f>
        <v>37600</v>
      </c>
      <c r="R842" s="8">
        <f>4678*10</f>
        <v>46780</v>
      </c>
    </row>
    <row r="843" spans="2:18" x14ac:dyDescent="0.2">
      <c r="B843" s="26" t="s">
        <v>885</v>
      </c>
      <c r="C843" s="8">
        <v>10</v>
      </c>
      <c r="D843" s="11" t="s">
        <v>7</v>
      </c>
      <c r="E843" s="18">
        <v>400</v>
      </c>
      <c r="F843" s="12">
        <f t="shared" si="240"/>
        <v>4000</v>
      </c>
      <c r="G843" s="23">
        <v>5</v>
      </c>
      <c r="H843" s="23">
        <v>10</v>
      </c>
      <c r="I843" s="23">
        <v>15</v>
      </c>
      <c r="P843" s="8">
        <v>27120</v>
      </c>
      <c r="Q843" s="8">
        <v>42786.37</v>
      </c>
      <c r="R843" s="8">
        <v>96933.984450000004</v>
      </c>
    </row>
    <row r="844" spans="2:18" x14ac:dyDescent="0.2">
      <c r="B844" s="27" t="s">
        <v>886</v>
      </c>
      <c r="C844" s="8">
        <v>10</v>
      </c>
      <c r="D844" s="11" t="s">
        <v>7</v>
      </c>
      <c r="E844" s="18">
        <v>300</v>
      </c>
      <c r="F844" s="12">
        <f t="shared" si="240"/>
        <v>3000</v>
      </c>
      <c r="G844" s="28">
        <v>4</v>
      </c>
      <c r="H844" s="29">
        <v>7</v>
      </c>
      <c r="I844" s="29">
        <v>10</v>
      </c>
      <c r="P844" s="8">
        <f>8347.552*5</f>
        <v>41737.759999999995</v>
      </c>
      <c r="Q844" s="8">
        <f>11172*5</f>
        <v>55860</v>
      </c>
      <c r="R844" s="8">
        <f>11244*5</f>
        <v>56220</v>
      </c>
    </row>
    <row r="845" spans="2:18" x14ac:dyDescent="0.2">
      <c r="B845" s="30" t="s">
        <v>887</v>
      </c>
      <c r="C845" s="8">
        <v>10</v>
      </c>
      <c r="D845" s="11" t="s">
        <v>7</v>
      </c>
      <c r="E845" s="18">
        <v>100</v>
      </c>
      <c r="F845" s="12">
        <f t="shared" si="240"/>
        <v>1000</v>
      </c>
      <c r="G845" s="23">
        <v>10</v>
      </c>
      <c r="H845" s="23">
        <v>15</v>
      </c>
      <c r="I845" s="23">
        <v>20</v>
      </c>
      <c r="P845" s="8">
        <v>2809.9312500000001</v>
      </c>
      <c r="Q845" s="8">
        <v>4014.1875</v>
      </c>
      <c r="R845" s="8">
        <v>5218.4437500000004</v>
      </c>
    </row>
    <row r="846" spans="2:18" x14ac:dyDescent="0.2">
      <c r="B846" s="30" t="s">
        <v>888</v>
      </c>
      <c r="C846" s="8">
        <v>10</v>
      </c>
      <c r="D846" s="11" t="s">
        <v>7</v>
      </c>
      <c r="E846" s="18">
        <v>300</v>
      </c>
      <c r="F846" s="12">
        <f t="shared" si="240"/>
        <v>3000</v>
      </c>
      <c r="G846" s="23">
        <v>5</v>
      </c>
      <c r="H846" s="23">
        <v>10</v>
      </c>
      <c r="I846" s="23">
        <v>15</v>
      </c>
      <c r="P846" s="8">
        <v>737.75613499099097</v>
      </c>
      <c r="Q846" s="8">
        <v>5478.6189984144203</v>
      </c>
      <c r="R846" s="8">
        <v>13726.0940006006</v>
      </c>
    </row>
    <row r="847" spans="2:18" x14ac:dyDescent="0.2">
      <c r="B847" s="30" t="s">
        <v>889</v>
      </c>
      <c r="C847" s="8">
        <v>10</v>
      </c>
      <c r="D847" s="11" t="s">
        <v>7</v>
      </c>
      <c r="E847" s="18">
        <v>300</v>
      </c>
      <c r="F847" s="12">
        <f t="shared" si="240"/>
        <v>3000</v>
      </c>
      <c r="G847" s="23">
        <v>20</v>
      </c>
      <c r="H847" s="23">
        <v>40</v>
      </c>
      <c r="I847" s="23">
        <v>60</v>
      </c>
    </row>
    <row r="848" spans="2:18" x14ac:dyDescent="0.2">
      <c r="B848" s="30" t="s">
        <v>890</v>
      </c>
      <c r="C848" s="8">
        <v>10</v>
      </c>
      <c r="D848" s="11" t="s">
        <v>7</v>
      </c>
      <c r="E848" s="18">
        <v>50</v>
      </c>
      <c r="F848" s="12">
        <f t="shared" si="240"/>
        <v>500</v>
      </c>
      <c r="G848" s="23">
        <v>3</v>
      </c>
      <c r="H848" s="23">
        <v>5</v>
      </c>
      <c r="I848" s="23">
        <v>7.4</v>
      </c>
      <c r="P848" s="8">
        <v>3369.6</v>
      </c>
      <c r="Q848" s="8">
        <v>4464</v>
      </c>
      <c r="R848" s="8">
        <v>6739.2</v>
      </c>
    </row>
    <row r="849" spans="2:19" x14ac:dyDescent="0.2">
      <c r="B849" s="30" t="s">
        <v>891</v>
      </c>
      <c r="C849" s="8">
        <v>10</v>
      </c>
      <c r="D849" s="11" t="s">
        <v>7</v>
      </c>
      <c r="E849" s="18">
        <v>50</v>
      </c>
      <c r="F849" s="12">
        <f t="shared" si="240"/>
        <v>500</v>
      </c>
      <c r="G849" s="23">
        <v>5</v>
      </c>
      <c r="H849" s="23">
        <v>7.5</v>
      </c>
      <c r="I849" s="23">
        <v>10</v>
      </c>
      <c r="P849" s="8">
        <f>456.831973137323*10</f>
        <v>4568.3197313732298</v>
      </c>
      <c r="Q849" s="8">
        <f>2716.88770336398*10</f>
        <v>27168.877033639801</v>
      </c>
      <c r="R849" s="8">
        <f>4957.6137507422*10</f>
        <v>49576.137507421998</v>
      </c>
    </row>
    <row r="850" spans="2:19" x14ac:dyDescent="0.2">
      <c r="B850" s="30" t="s">
        <v>892</v>
      </c>
      <c r="C850" s="8">
        <v>10</v>
      </c>
      <c r="D850" s="11" t="s">
        <v>7</v>
      </c>
      <c r="E850" s="18">
        <v>400</v>
      </c>
      <c r="F850" s="12">
        <f t="shared" si="240"/>
        <v>4000</v>
      </c>
      <c r="G850" s="23">
        <v>5</v>
      </c>
      <c r="H850" s="23">
        <v>10</v>
      </c>
      <c r="I850" s="23">
        <v>15</v>
      </c>
      <c r="P850" s="8">
        <f>1131.569042*20</f>
        <v>22631.380840000002</v>
      </c>
      <c r="Q850" s="8">
        <f>1465.677329*20</f>
        <v>29313.546580000002</v>
      </c>
      <c r="R850" s="8">
        <f>2158.508305*20</f>
        <v>43170.166099999995</v>
      </c>
    </row>
    <row r="851" spans="2:19" ht="16" x14ac:dyDescent="0.2">
      <c r="B851" s="31" t="s">
        <v>893</v>
      </c>
      <c r="C851" s="8">
        <v>10</v>
      </c>
      <c r="D851" s="11" t="s">
        <v>7</v>
      </c>
      <c r="E851" s="12">
        <v>420</v>
      </c>
      <c r="F851" s="12">
        <f t="shared" si="240"/>
        <v>4200</v>
      </c>
      <c r="G851" s="23">
        <v>1</v>
      </c>
      <c r="H851" s="23">
        <v>1</v>
      </c>
      <c r="I851" s="23">
        <v>1</v>
      </c>
      <c r="J851" s="8">
        <f>F851/1.9</f>
        <v>2210.5263157894738</v>
      </c>
      <c r="P851" s="8">
        <f>J851*0.2*1000</f>
        <v>442105.26315789478</v>
      </c>
      <c r="Q851" s="8">
        <v>442105.26319999999</v>
      </c>
      <c r="R851" s="8">
        <v>442105.26319999999</v>
      </c>
      <c r="S851" s="8" t="s">
        <v>895</v>
      </c>
    </row>
    <row r="852" spans="2:19" ht="16" x14ac:dyDescent="0.2">
      <c r="B852" s="31" t="s">
        <v>894</v>
      </c>
      <c r="C852" s="8">
        <v>10</v>
      </c>
      <c r="D852" s="11" t="s">
        <v>7</v>
      </c>
      <c r="E852" s="12">
        <v>1020</v>
      </c>
      <c r="F852" s="12">
        <f t="shared" si="240"/>
        <v>10200</v>
      </c>
      <c r="G852" s="23">
        <v>1</v>
      </c>
      <c r="H852" s="23">
        <v>1</v>
      </c>
      <c r="I852" s="23">
        <v>1</v>
      </c>
      <c r="P852" s="8">
        <f>(5578.25+15462.5)*3.6*10</f>
        <v>757467</v>
      </c>
      <c r="Q852" s="8">
        <v>757467</v>
      </c>
      <c r="R852" s="13">
        <v>757467</v>
      </c>
    </row>
  </sheetData>
  <hyperlinks>
    <hyperlink ref="C215" r:id="rId1" xr:uid="{0FE28AA3-FB6F-5A46-81F8-E4BB40D35586}"/>
    <hyperlink ref="L210" r:id="rId2" xr:uid="{16175CB1-B3A6-5C47-9DD5-0CC2AAE3B959}"/>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756"/>
  <sheetViews>
    <sheetView topLeftCell="P980" workbookViewId="0">
      <selection sqref="A1:XFD1048576"/>
    </sheetView>
  </sheetViews>
  <sheetFormatPr baseColWidth="10" defaultColWidth="8.83203125" defaultRowHeight="15" x14ac:dyDescent="0.2"/>
  <cols>
    <col min="1" max="1" width="45.6640625" style="32" customWidth="1"/>
    <col min="2" max="2" width="14" style="8" customWidth="1"/>
    <col min="3" max="5" width="8.83203125" style="8"/>
    <col min="6" max="6" width="13" style="8" customWidth="1"/>
    <col min="7" max="7" width="14.6640625" style="8" customWidth="1"/>
    <col min="8" max="8" width="21.6640625" style="8" customWidth="1"/>
    <col min="9" max="9" width="24.1640625" style="8" customWidth="1"/>
    <col min="10" max="12" width="8.83203125" style="8"/>
    <col min="13" max="13" width="23.83203125" style="8" customWidth="1"/>
    <col min="14" max="14" width="21.5" style="8" bestFit="1" customWidth="1"/>
    <col min="15" max="16384" width="8.83203125" style="8"/>
  </cols>
  <sheetData>
    <row r="1" spans="1:31" ht="16" thickBot="1" x14ac:dyDescent="0.25"/>
    <row r="2" spans="1:31" ht="16" x14ac:dyDescent="0.2">
      <c r="A2" s="3" t="s">
        <v>897</v>
      </c>
      <c r="B2" s="33" t="s">
        <v>896</v>
      </c>
      <c r="C2" s="34" t="s">
        <v>95</v>
      </c>
      <c r="F2" s="35" t="s">
        <v>898</v>
      </c>
      <c r="G2" s="36" t="s">
        <v>896</v>
      </c>
      <c r="H2" s="36" t="s">
        <v>899</v>
      </c>
      <c r="I2" s="36" t="s">
        <v>914</v>
      </c>
      <c r="J2" s="36" t="s">
        <v>900</v>
      </c>
      <c r="K2" s="36" t="s">
        <v>901</v>
      </c>
      <c r="L2" s="36" t="s">
        <v>902</v>
      </c>
      <c r="M2" s="37" t="s">
        <v>907</v>
      </c>
      <c r="N2" s="8" t="s">
        <v>908</v>
      </c>
      <c r="Q2" s="38" t="s">
        <v>909</v>
      </c>
      <c r="R2" s="38"/>
      <c r="AA2" s="8">
        <v>1</v>
      </c>
      <c r="AB2" s="8">
        <v>26.092944249091499</v>
      </c>
    </row>
    <row r="3" spans="1:31" ht="32" x14ac:dyDescent="0.2">
      <c r="A3" s="10" t="s">
        <v>32</v>
      </c>
      <c r="B3" s="39">
        <v>70500</v>
      </c>
      <c r="C3" s="13">
        <v>1</v>
      </c>
      <c r="E3" s="8">
        <v>5.0228921021163204</v>
      </c>
      <c r="F3" s="40">
        <v>1</v>
      </c>
      <c r="G3" s="12">
        <f>SUM(B3:B66)</f>
        <v>301498.91000000015</v>
      </c>
      <c r="H3" s="12">
        <f>G3</f>
        <v>301498.91000000015</v>
      </c>
      <c r="I3" s="12">
        <f>H3/770</f>
        <v>391.55702597402615</v>
      </c>
      <c r="J3" s="8">
        <f t="shared" ref="J3:J22" si="0">F3*$R$3+$R$4</f>
        <v>228.25418177465949</v>
      </c>
      <c r="K3" s="41">
        <f>F3*$R$5+$R$6</f>
        <v>2264.2754649346948</v>
      </c>
      <c r="L3" s="8">
        <f>MIN(J3:K3)</f>
        <v>228.25418177465949</v>
      </c>
      <c r="M3" s="42">
        <f>(L3-I3)^2</f>
        <v>26667.818923602623</v>
      </c>
      <c r="N3" s="43">
        <f>SUM(M3:M61)</f>
        <v>354403.71632237273</v>
      </c>
      <c r="Q3" s="38" t="s">
        <v>903</v>
      </c>
      <c r="R3" s="38">
        <v>26.092944249091499</v>
      </c>
      <c r="AA3" s="8">
        <f>AA2+1</f>
        <v>2</v>
      </c>
      <c r="AB3" s="8">
        <v>26.092944249091499</v>
      </c>
    </row>
    <row r="4" spans="1:31" ht="48" x14ac:dyDescent="0.2">
      <c r="A4" s="10" t="s">
        <v>148</v>
      </c>
      <c r="B4" s="39">
        <v>4991</v>
      </c>
      <c r="C4" s="13">
        <v>1</v>
      </c>
      <c r="E4" s="8">
        <v>5.0228921021163204</v>
      </c>
      <c r="F4" s="40">
        <v>2</v>
      </c>
      <c r="G4" s="12">
        <f>B67</f>
        <v>140</v>
      </c>
      <c r="H4" s="44">
        <f>H3+G4</f>
        <v>301638.91000000015</v>
      </c>
      <c r="I4" s="12">
        <f t="shared" ref="I4:I61" si="1">H4/770</f>
        <v>391.73884415584433</v>
      </c>
      <c r="J4" s="8">
        <f t="shared" si="0"/>
        <v>254.347126023751</v>
      </c>
      <c r="K4" s="41">
        <f t="shared" ref="K4:K61" si="2">F4*$R$5+$R$6</f>
        <v>2264.8732776729639</v>
      </c>
      <c r="L4" s="8">
        <f t="shared" ref="L4:L61" si="3">MIN(J4:K4)</f>
        <v>254.347126023751</v>
      </c>
      <c r="M4" s="42">
        <f t="shared" ref="M4:M61" si="4">(L4-I4)^2</f>
        <v>18876.484211288582</v>
      </c>
      <c r="Q4" s="38" t="s">
        <v>904</v>
      </c>
      <c r="R4" s="38">
        <v>202.161237525568</v>
      </c>
      <c r="AA4" s="8">
        <f t="shared" ref="AA4:AA67" si="5">AA3+1</f>
        <v>3</v>
      </c>
      <c r="AB4" s="8">
        <v>26.092944249091499</v>
      </c>
    </row>
    <row r="5" spans="1:31" ht="32" x14ac:dyDescent="0.2">
      <c r="A5" s="10" t="s">
        <v>149</v>
      </c>
      <c r="B5" s="39">
        <v>907.2</v>
      </c>
      <c r="C5" s="13">
        <v>1</v>
      </c>
      <c r="E5" s="8">
        <v>5.0228921021163204</v>
      </c>
      <c r="F5" s="40">
        <v>4</v>
      </c>
      <c r="G5" s="12">
        <f>SUM(B68:B69)</f>
        <v>250</v>
      </c>
      <c r="H5" s="44">
        <f t="shared" ref="H5:H61" si="6">H4+G5</f>
        <v>301888.91000000015</v>
      </c>
      <c r="I5" s="12">
        <f t="shared" si="1"/>
        <v>392.06351948051969</v>
      </c>
      <c r="J5" s="8">
        <f t="shared" si="0"/>
        <v>306.53301452193398</v>
      </c>
      <c r="K5" s="41">
        <f t="shared" si="2"/>
        <v>2266.0689031495012</v>
      </c>
      <c r="L5" s="8">
        <f t="shared" si="3"/>
        <v>306.53301452193398</v>
      </c>
      <c r="M5" s="42">
        <f t="shared" si="4"/>
        <v>7315.4672784706545</v>
      </c>
      <c r="Q5" s="38" t="s">
        <v>905</v>
      </c>
      <c r="R5" s="38">
        <v>0.59781273826877401</v>
      </c>
      <c r="AA5" s="8">
        <f t="shared" si="5"/>
        <v>4</v>
      </c>
      <c r="AB5" s="8">
        <v>26.092944249091499</v>
      </c>
    </row>
    <row r="6" spans="1:31" ht="32" x14ac:dyDescent="0.2">
      <c r="A6" s="10" t="s">
        <v>150</v>
      </c>
      <c r="B6" s="39">
        <v>1209.5999999999999</v>
      </c>
      <c r="C6" s="13">
        <v>1</v>
      </c>
      <c r="E6" s="8">
        <v>5.0228921021163204</v>
      </c>
      <c r="F6" s="40">
        <v>5</v>
      </c>
      <c r="G6" s="44">
        <f>SUM(B70:B71:B72)</f>
        <v>900</v>
      </c>
      <c r="H6" s="44">
        <f t="shared" si="6"/>
        <v>302788.91000000015</v>
      </c>
      <c r="I6" s="12">
        <f t="shared" si="1"/>
        <v>393.23235064935085</v>
      </c>
      <c r="J6" s="8">
        <f t="shared" si="0"/>
        <v>332.62595877102547</v>
      </c>
      <c r="K6" s="41">
        <f t="shared" si="2"/>
        <v>2266.6667158877699</v>
      </c>
      <c r="L6" s="8">
        <f t="shared" si="3"/>
        <v>332.62595877102547</v>
      </c>
      <c r="M6" s="42">
        <f t="shared" si="4"/>
        <v>3673.1347365091451</v>
      </c>
      <c r="Q6" s="38" t="s">
        <v>906</v>
      </c>
      <c r="R6" s="45">
        <v>2263.6776521964262</v>
      </c>
      <c r="AA6" s="8">
        <f t="shared" si="5"/>
        <v>5</v>
      </c>
      <c r="AB6" s="8">
        <v>26.092944249091499</v>
      </c>
    </row>
    <row r="7" spans="1:31" ht="16" x14ac:dyDescent="0.2">
      <c r="A7" s="10" t="s">
        <v>151</v>
      </c>
      <c r="B7" s="39">
        <v>2035.28</v>
      </c>
      <c r="C7" s="13">
        <v>1</v>
      </c>
      <c r="E7" s="8">
        <v>5.0228921021163204</v>
      </c>
      <c r="F7" s="40">
        <v>6</v>
      </c>
      <c r="G7" s="12">
        <f>SUM(B73:B78)</f>
        <v>3611.45</v>
      </c>
      <c r="H7" s="44">
        <f t="shared" si="6"/>
        <v>306400.36000000016</v>
      </c>
      <c r="I7" s="12">
        <f t="shared" si="1"/>
        <v>397.92254545454568</v>
      </c>
      <c r="J7" s="8">
        <f t="shared" si="0"/>
        <v>358.71890302011695</v>
      </c>
      <c r="K7" s="41">
        <f t="shared" si="2"/>
        <v>2267.264528626039</v>
      </c>
      <c r="L7" s="8">
        <f t="shared" si="3"/>
        <v>358.71890302011695</v>
      </c>
      <c r="M7" s="42">
        <f t="shared" si="4"/>
        <v>1536.925580126541</v>
      </c>
      <c r="AA7" s="8">
        <f t="shared" si="5"/>
        <v>6</v>
      </c>
      <c r="AB7" s="8">
        <v>26.092944249091499</v>
      </c>
    </row>
    <row r="8" spans="1:31" ht="48" x14ac:dyDescent="0.2">
      <c r="A8" s="10" t="s">
        <v>152</v>
      </c>
      <c r="B8" s="39">
        <v>199.84</v>
      </c>
      <c r="C8" s="13">
        <v>1</v>
      </c>
      <c r="E8" s="8">
        <v>5.0228921021163204</v>
      </c>
      <c r="F8" s="40">
        <v>7</v>
      </c>
      <c r="G8" s="12">
        <f>SUM(B79:B88)</f>
        <v>14623.6</v>
      </c>
      <c r="H8" s="44">
        <f t="shared" si="6"/>
        <v>321023.96000000014</v>
      </c>
      <c r="I8" s="12">
        <f t="shared" si="1"/>
        <v>416.91423376623396</v>
      </c>
      <c r="J8" s="8">
        <f t="shared" si="0"/>
        <v>384.8118472692085</v>
      </c>
      <c r="K8" s="41">
        <f t="shared" si="2"/>
        <v>2267.8623413643077</v>
      </c>
      <c r="L8" s="8">
        <f t="shared" si="3"/>
        <v>384.8118472692085</v>
      </c>
      <c r="M8" s="42">
        <f t="shared" si="4"/>
        <v>1030.5632188044028</v>
      </c>
      <c r="AA8" s="8">
        <f t="shared" si="5"/>
        <v>7</v>
      </c>
      <c r="AB8" s="8">
        <v>26.092944249091499</v>
      </c>
    </row>
    <row r="9" spans="1:31" ht="48" x14ac:dyDescent="0.2">
      <c r="A9" s="10" t="s">
        <v>155</v>
      </c>
      <c r="B9" s="39">
        <v>25.92</v>
      </c>
      <c r="C9" s="13">
        <v>1</v>
      </c>
      <c r="E9" s="8">
        <v>5.0228921021163204</v>
      </c>
      <c r="F9" s="40">
        <v>8</v>
      </c>
      <c r="G9" s="12">
        <f>SUM(B89:B92)</f>
        <v>16893.699999999997</v>
      </c>
      <c r="H9" s="44">
        <f t="shared" si="6"/>
        <v>337917.66000000015</v>
      </c>
      <c r="I9" s="12">
        <f t="shared" si="1"/>
        <v>438.85410389610411</v>
      </c>
      <c r="J9" s="8">
        <f t="shared" si="0"/>
        <v>410.90479151829999</v>
      </c>
      <c r="K9" s="41">
        <f t="shared" si="2"/>
        <v>2268.4601541025763</v>
      </c>
      <c r="L9" s="8">
        <f t="shared" si="3"/>
        <v>410.90479151829999</v>
      </c>
      <c r="M9" s="42">
        <f t="shared" si="4"/>
        <v>781.16406239207458</v>
      </c>
      <c r="V9" s="46"/>
      <c r="AA9" s="8">
        <f t="shared" si="5"/>
        <v>8</v>
      </c>
      <c r="AB9" s="8">
        <v>26.092944249091499</v>
      </c>
    </row>
    <row r="10" spans="1:31" ht="48" x14ac:dyDescent="0.2">
      <c r="A10" s="10" t="s">
        <v>156</v>
      </c>
      <c r="B10" s="39">
        <v>4233.6000000000004</v>
      </c>
      <c r="C10" s="13">
        <v>1</v>
      </c>
      <c r="E10" s="8">
        <v>5.0228921021163204</v>
      </c>
      <c r="F10" s="40">
        <v>10</v>
      </c>
      <c r="G10" s="12">
        <f>SUM(B93:B102)</f>
        <v>25023.45</v>
      </c>
      <c r="H10" s="44">
        <f t="shared" si="6"/>
        <v>362941.11000000016</v>
      </c>
      <c r="I10" s="12">
        <f t="shared" si="1"/>
        <v>471.35209090909115</v>
      </c>
      <c r="J10" s="8">
        <f t="shared" si="0"/>
        <v>463.09068001648302</v>
      </c>
      <c r="K10" s="41">
        <f t="shared" si="2"/>
        <v>2269.6557795791141</v>
      </c>
      <c r="L10" s="8">
        <f t="shared" si="3"/>
        <v>463.09068001648302</v>
      </c>
      <c r="M10" s="42">
        <f t="shared" si="4"/>
        <v>68.250909936504186</v>
      </c>
      <c r="AA10" s="8">
        <f t="shared" si="5"/>
        <v>9</v>
      </c>
      <c r="AB10" s="8">
        <v>26.092944249091499</v>
      </c>
    </row>
    <row r="11" spans="1:31" ht="48" x14ac:dyDescent="0.2">
      <c r="A11" s="10" t="s">
        <v>159</v>
      </c>
      <c r="B11" s="39">
        <v>12477.5</v>
      </c>
      <c r="C11" s="13">
        <v>1</v>
      </c>
      <c r="E11" s="8">
        <v>5.0228921021163204</v>
      </c>
      <c r="F11" s="40">
        <v>11</v>
      </c>
      <c r="G11" s="12">
        <f>SUM(B103:B107)</f>
        <v>4662.2599999999993</v>
      </c>
      <c r="H11" s="44">
        <f t="shared" si="6"/>
        <v>367603.37000000017</v>
      </c>
      <c r="I11" s="12">
        <f t="shared" si="1"/>
        <v>477.40697402597425</v>
      </c>
      <c r="J11" s="8">
        <f t="shared" si="0"/>
        <v>489.18362426557451</v>
      </c>
      <c r="K11" s="41">
        <f t="shared" si="2"/>
        <v>2270.2535923173828</v>
      </c>
      <c r="L11" s="8">
        <f t="shared" si="3"/>
        <v>489.18362426557451</v>
      </c>
      <c r="M11" s="42">
        <f t="shared" si="4"/>
        <v>138.68949086587682</v>
      </c>
      <c r="AA11" s="8">
        <f t="shared" si="5"/>
        <v>10</v>
      </c>
      <c r="AB11" s="8">
        <v>26.092944249091499</v>
      </c>
    </row>
    <row r="12" spans="1:31" ht="16" x14ac:dyDescent="0.2">
      <c r="A12" s="10" t="s">
        <v>151</v>
      </c>
      <c r="B12" s="39">
        <v>507.68</v>
      </c>
      <c r="C12" s="13">
        <v>1</v>
      </c>
      <c r="E12" s="8">
        <v>5.0228921021163204</v>
      </c>
      <c r="F12" s="40">
        <v>12</v>
      </c>
      <c r="G12" s="12">
        <f>SUM(B108)</f>
        <v>1000</v>
      </c>
      <c r="H12" s="44">
        <f t="shared" si="6"/>
        <v>368603.37000000017</v>
      </c>
      <c r="I12" s="12">
        <f t="shared" si="1"/>
        <v>478.70567532467555</v>
      </c>
      <c r="J12" s="8">
        <f t="shared" si="0"/>
        <v>515.276568514666</v>
      </c>
      <c r="K12" s="41">
        <f t="shared" si="2"/>
        <v>2270.8514050556514</v>
      </c>
      <c r="L12" s="8">
        <f t="shared" si="3"/>
        <v>515.276568514666</v>
      </c>
      <c r="M12" s="42">
        <f t="shared" si="4"/>
        <v>1337.4302287136893</v>
      </c>
      <c r="AA12" s="8">
        <f t="shared" si="5"/>
        <v>11</v>
      </c>
      <c r="AB12" s="8">
        <v>26.092944249091499</v>
      </c>
    </row>
    <row r="13" spans="1:31" ht="16" x14ac:dyDescent="0.2">
      <c r="A13" s="10" t="s">
        <v>160</v>
      </c>
      <c r="B13" s="39">
        <v>329.08</v>
      </c>
      <c r="C13" s="13">
        <v>1</v>
      </c>
      <c r="E13" s="8">
        <v>5.0228921021163204</v>
      </c>
      <c r="F13" s="40">
        <v>13</v>
      </c>
      <c r="G13" s="12">
        <f>SUM(B109:B110)</f>
        <v>34982.1</v>
      </c>
      <c r="H13" s="44">
        <f t="shared" si="6"/>
        <v>403585.47000000015</v>
      </c>
      <c r="I13" s="12">
        <f t="shared" si="1"/>
        <v>524.13697402597427</v>
      </c>
      <c r="J13" s="8">
        <f t="shared" si="0"/>
        <v>541.36951276375748</v>
      </c>
      <c r="K13" s="41">
        <f t="shared" si="2"/>
        <v>2271.4492177939201</v>
      </c>
      <c r="L13" s="8">
        <f t="shared" si="3"/>
        <v>541.36951276375748</v>
      </c>
      <c r="M13" s="42">
        <f t="shared" si="4"/>
        <v>296.96039134919914</v>
      </c>
      <c r="AA13" s="8">
        <f t="shared" si="5"/>
        <v>12</v>
      </c>
      <c r="AB13" s="8">
        <v>26.092944249091499</v>
      </c>
    </row>
    <row r="14" spans="1:31" ht="64" x14ac:dyDescent="0.2">
      <c r="A14" s="10" t="s">
        <v>162</v>
      </c>
      <c r="B14" s="39">
        <v>2274.48</v>
      </c>
      <c r="C14" s="13">
        <v>1</v>
      </c>
      <c r="E14" s="8">
        <v>5.0228921021163204</v>
      </c>
      <c r="F14" s="40">
        <v>14</v>
      </c>
      <c r="G14" s="12">
        <f>SUM(B111)</f>
        <v>500</v>
      </c>
      <c r="H14" s="44">
        <f t="shared" si="6"/>
        <v>404085.47000000015</v>
      </c>
      <c r="I14" s="12">
        <f t="shared" si="1"/>
        <v>524.78632467532486</v>
      </c>
      <c r="J14" s="8">
        <f t="shared" si="0"/>
        <v>567.46245701284897</v>
      </c>
      <c r="K14" s="41">
        <f t="shared" si="2"/>
        <v>2272.0470305321892</v>
      </c>
      <c r="L14" s="8">
        <f t="shared" si="3"/>
        <v>567.46245701284897</v>
      </c>
      <c r="M14" s="42">
        <f t="shared" si="4"/>
        <v>1821.252271289871</v>
      </c>
      <c r="AA14" s="8">
        <f t="shared" si="5"/>
        <v>13</v>
      </c>
      <c r="AB14" s="8">
        <v>26.092944249091499</v>
      </c>
      <c r="AE14" s="46"/>
    </row>
    <row r="15" spans="1:31" ht="48" x14ac:dyDescent="0.2">
      <c r="A15" s="10" t="s">
        <v>163</v>
      </c>
      <c r="B15" s="39">
        <v>3529.35</v>
      </c>
      <c r="C15" s="13">
        <v>1</v>
      </c>
      <c r="E15" s="8">
        <v>5.0228921021163204</v>
      </c>
      <c r="F15" s="40">
        <v>15</v>
      </c>
      <c r="G15" s="12">
        <f>SUM(B112:B124)</f>
        <v>8454.5499999999993</v>
      </c>
      <c r="H15" s="44">
        <f t="shared" si="6"/>
        <v>412540.02000000014</v>
      </c>
      <c r="I15" s="12">
        <f t="shared" si="1"/>
        <v>535.7662597402599</v>
      </c>
      <c r="J15" s="8">
        <f t="shared" si="0"/>
        <v>593.55540126194046</v>
      </c>
      <c r="K15" s="41">
        <f t="shared" si="2"/>
        <v>2272.6448432704578</v>
      </c>
      <c r="L15" s="8">
        <f t="shared" si="3"/>
        <v>593.55540126194046</v>
      </c>
      <c r="M15" s="42">
        <f t="shared" si="4"/>
        <v>3339.5848778128243</v>
      </c>
      <c r="N15" s="46"/>
      <c r="AA15" s="8">
        <f t="shared" si="5"/>
        <v>14</v>
      </c>
      <c r="AB15" s="8">
        <v>26.092944249091499</v>
      </c>
    </row>
    <row r="16" spans="1:31" ht="224" x14ac:dyDescent="0.2">
      <c r="A16" s="10" t="s">
        <v>164</v>
      </c>
      <c r="B16" s="39">
        <v>38614.69</v>
      </c>
      <c r="C16" s="13">
        <v>1</v>
      </c>
      <c r="E16" s="8">
        <v>5.0228921021163204</v>
      </c>
      <c r="F16" s="40">
        <v>17</v>
      </c>
      <c r="G16" s="12">
        <f>SUM(B125:B137)</f>
        <v>5691.96</v>
      </c>
      <c r="H16" s="44">
        <f t="shared" si="6"/>
        <v>418231.98000000016</v>
      </c>
      <c r="I16" s="12">
        <f t="shared" si="1"/>
        <v>543.15841558441582</v>
      </c>
      <c r="J16" s="8">
        <f t="shared" si="0"/>
        <v>645.74128976012344</v>
      </c>
      <c r="K16" s="41">
        <f t="shared" si="2"/>
        <v>2273.8404687469952</v>
      </c>
      <c r="L16" s="8">
        <f t="shared" si="3"/>
        <v>645.74128976012344</v>
      </c>
      <c r="M16" s="42">
        <f t="shared" si="4"/>
        <v>10523.246074149061</v>
      </c>
      <c r="AA16" s="8">
        <f t="shared" si="5"/>
        <v>15</v>
      </c>
      <c r="AB16" s="8">
        <v>26.092944249091499</v>
      </c>
    </row>
    <row r="17" spans="1:28" ht="64" x14ac:dyDescent="0.2">
      <c r="A17" s="10" t="s">
        <v>165</v>
      </c>
      <c r="B17" s="39">
        <v>25344.73</v>
      </c>
      <c r="C17" s="13">
        <v>1</v>
      </c>
      <c r="E17" s="8">
        <v>5.0228921021163204</v>
      </c>
      <c r="F17" s="40">
        <v>18</v>
      </c>
      <c r="G17" s="12">
        <f>SUM(B138:B139)</f>
        <v>2187.8000000000002</v>
      </c>
      <c r="H17" s="44">
        <f t="shared" si="6"/>
        <v>420419.78000000014</v>
      </c>
      <c r="I17" s="12">
        <f t="shared" si="1"/>
        <v>545.9997142857145</v>
      </c>
      <c r="J17" s="8">
        <f t="shared" si="0"/>
        <v>671.83423400921492</v>
      </c>
      <c r="K17" s="41">
        <f t="shared" si="2"/>
        <v>2274.4382814852643</v>
      </c>
      <c r="L17" s="8">
        <f t="shared" si="3"/>
        <v>671.83423400921492</v>
      </c>
      <c r="M17" s="42">
        <f t="shared" si="4"/>
        <v>15834.326354044017</v>
      </c>
      <c r="AA17" s="8">
        <f t="shared" si="5"/>
        <v>16</v>
      </c>
      <c r="AB17" s="8">
        <v>26.092944249091499</v>
      </c>
    </row>
    <row r="18" spans="1:28" ht="32" x14ac:dyDescent="0.2">
      <c r="A18" s="10" t="s">
        <v>166</v>
      </c>
      <c r="B18" s="39">
        <v>297.07</v>
      </c>
      <c r="C18" s="13">
        <v>1</v>
      </c>
      <c r="E18" s="8">
        <v>5.0228921021163204</v>
      </c>
      <c r="F18" s="40">
        <v>19</v>
      </c>
      <c r="G18" s="12">
        <f>SUM(B140:B142)</f>
        <v>3205.04</v>
      </c>
      <c r="H18" s="44">
        <f t="shared" si="6"/>
        <v>423624.82000000012</v>
      </c>
      <c r="I18" s="12">
        <f t="shared" si="1"/>
        <v>550.1621038961041</v>
      </c>
      <c r="J18" s="8">
        <f t="shared" si="0"/>
        <v>697.92717825830653</v>
      </c>
      <c r="K18" s="41">
        <f t="shared" si="2"/>
        <v>2275.0360942235329</v>
      </c>
      <c r="L18" s="8">
        <f t="shared" si="3"/>
        <v>697.92717825830653</v>
      </c>
      <c r="M18" s="42">
        <f t="shared" si="4"/>
        <v>21834.517201267212</v>
      </c>
      <c r="AA18" s="8">
        <f t="shared" si="5"/>
        <v>17</v>
      </c>
      <c r="AB18" s="8">
        <v>26.092944249091499</v>
      </c>
    </row>
    <row r="19" spans="1:28" ht="32" x14ac:dyDescent="0.2">
      <c r="A19" s="10" t="s">
        <v>167</v>
      </c>
      <c r="B19" s="39">
        <v>297.07</v>
      </c>
      <c r="C19" s="13">
        <v>1</v>
      </c>
      <c r="E19" s="8">
        <v>5.0228921021163204</v>
      </c>
      <c r="F19" s="40">
        <v>20</v>
      </c>
      <c r="G19" s="12">
        <f>SUM(B143:B181)</f>
        <v>72078.76999999999</v>
      </c>
      <c r="H19" s="44">
        <f t="shared" si="6"/>
        <v>495703.59000000008</v>
      </c>
      <c r="I19" s="12">
        <f t="shared" si="1"/>
        <v>643.77089610389623</v>
      </c>
      <c r="J19" s="8">
        <f t="shared" si="0"/>
        <v>724.02012250739801</v>
      </c>
      <c r="K19" s="41">
        <f t="shared" si="2"/>
        <v>2275.6339069618016</v>
      </c>
      <c r="L19" s="8">
        <f t="shared" si="3"/>
        <v>724.02012250739801</v>
      </c>
      <c r="M19" s="42">
        <f t="shared" si="4"/>
        <v>6439.9383383604873</v>
      </c>
      <c r="AA19" s="8">
        <f t="shared" si="5"/>
        <v>18</v>
      </c>
      <c r="AB19" s="8">
        <v>26.092944249091499</v>
      </c>
    </row>
    <row r="20" spans="1:28" ht="32" x14ac:dyDescent="0.2">
      <c r="A20" s="10" t="s">
        <v>182</v>
      </c>
      <c r="B20" s="39">
        <v>32.4</v>
      </c>
      <c r="C20" s="13">
        <v>1</v>
      </c>
      <c r="E20" s="8">
        <v>5.0228921021163204</v>
      </c>
      <c r="F20" s="40">
        <v>22</v>
      </c>
      <c r="G20" s="12">
        <f>SUM(B182:B185)</f>
        <v>17016.580000000002</v>
      </c>
      <c r="H20" s="44">
        <f t="shared" si="6"/>
        <v>512720.1700000001</v>
      </c>
      <c r="I20" s="12">
        <f t="shared" si="1"/>
        <v>665.87035064935083</v>
      </c>
      <c r="J20" s="8">
        <f t="shared" si="0"/>
        <v>776.20601100558099</v>
      </c>
      <c r="K20" s="41">
        <f t="shared" si="2"/>
        <v>2276.8295324383394</v>
      </c>
      <c r="L20" s="8">
        <f t="shared" si="3"/>
        <v>776.20601100558099</v>
      </c>
      <c r="M20" s="42">
        <f t="shared" si="4"/>
        <v>12173.95794624538</v>
      </c>
      <c r="AA20" s="8">
        <f t="shared" si="5"/>
        <v>19</v>
      </c>
      <c r="AB20" s="8">
        <v>26.092944249091499</v>
      </c>
    </row>
    <row r="21" spans="1:28" ht="16" x14ac:dyDescent="0.2">
      <c r="A21" s="10" t="s">
        <v>306</v>
      </c>
      <c r="B21" s="39">
        <v>600</v>
      </c>
      <c r="C21" s="13">
        <v>1</v>
      </c>
      <c r="E21" s="8">
        <v>5.0228921021163204</v>
      </c>
      <c r="F21" s="40">
        <v>23</v>
      </c>
      <c r="G21" s="12">
        <f>SUM(B186:B187)</f>
        <v>13268.16</v>
      </c>
      <c r="H21" s="44">
        <f t="shared" si="6"/>
        <v>525988.33000000007</v>
      </c>
      <c r="I21" s="12">
        <f t="shared" si="1"/>
        <v>683.10172727272732</v>
      </c>
      <c r="J21" s="8">
        <f t="shared" si="0"/>
        <v>802.29895525467248</v>
      </c>
      <c r="K21" s="41">
        <f t="shared" si="2"/>
        <v>2277.427345176608</v>
      </c>
      <c r="L21" s="8">
        <f t="shared" si="3"/>
        <v>802.29895525467248</v>
      </c>
      <c r="M21" s="42">
        <f t="shared" si="4"/>
        <v>14207.97915857981</v>
      </c>
      <c r="AA21" s="8">
        <f t="shared" si="5"/>
        <v>20</v>
      </c>
      <c r="AB21" s="8">
        <v>26.092944249091499</v>
      </c>
    </row>
    <row r="22" spans="1:28" ht="16" x14ac:dyDescent="0.2">
      <c r="A22" s="10" t="s">
        <v>587</v>
      </c>
      <c r="B22" s="39">
        <v>2642.5</v>
      </c>
      <c r="C22" s="13">
        <v>1</v>
      </c>
      <c r="E22" s="8">
        <v>5.0228921021163204</v>
      </c>
      <c r="F22" s="40">
        <v>24</v>
      </c>
      <c r="G22" s="12">
        <f>SUM(B188:B193)</f>
        <v>10722.239999999998</v>
      </c>
      <c r="H22" s="44">
        <f t="shared" si="6"/>
        <v>536710.57000000007</v>
      </c>
      <c r="I22" s="12">
        <f t="shared" si="1"/>
        <v>697.02671428571432</v>
      </c>
      <c r="J22" s="8">
        <f t="shared" si="0"/>
        <v>828.39189950376397</v>
      </c>
      <c r="K22" s="41">
        <f t="shared" si="2"/>
        <v>2278.0251579148767</v>
      </c>
      <c r="L22" s="8">
        <f t="shared" si="3"/>
        <v>828.39189950376397</v>
      </c>
      <c r="M22" s="42">
        <f t="shared" si="4"/>
        <v>17256.811887372489</v>
      </c>
      <c r="AA22" s="8">
        <f t="shared" si="5"/>
        <v>21</v>
      </c>
      <c r="AB22" s="8">
        <v>26.092944249091499</v>
      </c>
    </row>
    <row r="23" spans="1:28" ht="32" x14ac:dyDescent="0.2">
      <c r="A23" s="10" t="s">
        <v>588</v>
      </c>
      <c r="B23" s="39">
        <v>237</v>
      </c>
      <c r="C23" s="13">
        <v>1</v>
      </c>
      <c r="E23" s="8">
        <v>5.0228921021163204</v>
      </c>
      <c r="F23" s="40">
        <v>26</v>
      </c>
      <c r="G23" s="12">
        <f>SUM(B194:B220)</f>
        <v>91429.32</v>
      </c>
      <c r="H23" s="44">
        <f t="shared" si="6"/>
        <v>628139.89000000013</v>
      </c>
      <c r="I23" s="12">
        <f t="shared" si="1"/>
        <v>815.76609090909108</v>
      </c>
      <c r="J23" s="8">
        <f t="shared" ref="J23:J61" si="7">F23*$R$3+$R$4</f>
        <v>880.57778800194694</v>
      </c>
      <c r="K23" s="41">
        <f t="shared" si="2"/>
        <v>2279.2207833914144</v>
      </c>
      <c r="L23" s="8">
        <f t="shared" si="3"/>
        <v>880.57778800194694</v>
      </c>
      <c r="M23" s="42">
        <f t="shared" si="4"/>
        <v>4200.5560800561016</v>
      </c>
      <c r="AA23" s="8">
        <f t="shared" si="5"/>
        <v>22</v>
      </c>
      <c r="AB23" s="8">
        <v>26.092944249091499</v>
      </c>
    </row>
    <row r="24" spans="1:28" ht="32" x14ac:dyDescent="0.2">
      <c r="A24" s="10" t="s">
        <v>589</v>
      </c>
      <c r="B24" s="39">
        <v>273</v>
      </c>
      <c r="C24" s="13">
        <v>1</v>
      </c>
      <c r="E24" s="8">
        <v>5.0228921021163204</v>
      </c>
      <c r="F24" s="40">
        <v>27</v>
      </c>
      <c r="G24" s="12">
        <f>SUM(B221:B225)</f>
        <v>19119.050000000003</v>
      </c>
      <c r="H24" s="44">
        <f t="shared" si="6"/>
        <v>647258.94000000018</v>
      </c>
      <c r="I24" s="12">
        <f t="shared" si="1"/>
        <v>840.59602597402625</v>
      </c>
      <c r="J24" s="8">
        <f t="shared" si="7"/>
        <v>906.67073225103854</v>
      </c>
      <c r="K24" s="41">
        <f t="shared" si="2"/>
        <v>2279.8185961296831</v>
      </c>
      <c r="L24" s="8">
        <f t="shared" si="3"/>
        <v>906.67073225103854</v>
      </c>
      <c r="M24" s="42">
        <f t="shared" si="4"/>
        <v>4365.8668095934481</v>
      </c>
      <c r="AA24" s="8">
        <f t="shared" si="5"/>
        <v>23</v>
      </c>
      <c r="AB24" s="8">
        <v>26.092944249091499</v>
      </c>
    </row>
    <row r="25" spans="1:28" ht="32" x14ac:dyDescent="0.2">
      <c r="A25" s="10" t="s">
        <v>590</v>
      </c>
      <c r="B25" s="39">
        <v>5</v>
      </c>
      <c r="C25" s="13">
        <v>1</v>
      </c>
      <c r="E25" s="8">
        <v>5.0228921021163204</v>
      </c>
      <c r="F25" s="40">
        <v>29</v>
      </c>
      <c r="G25" s="12">
        <f>SUM(B226:B243)</f>
        <v>20879.41</v>
      </c>
      <c r="H25" s="44">
        <f t="shared" si="6"/>
        <v>668138.35000000021</v>
      </c>
      <c r="I25" s="12">
        <f t="shared" si="1"/>
        <v>867.71214285714314</v>
      </c>
      <c r="J25" s="8">
        <f t="shared" si="7"/>
        <v>958.85662074922152</v>
      </c>
      <c r="K25" s="41">
        <f t="shared" si="2"/>
        <v>2281.0142216062204</v>
      </c>
      <c r="L25" s="8">
        <f t="shared" si="3"/>
        <v>958.85662074922152</v>
      </c>
      <c r="M25" s="42">
        <f t="shared" si="4"/>
        <v>8307.3158502195656</v>
      </c>
      <c r="AA25" s="8">
        <f t="shared" si="5"/>
        <v>24</v>
      </c>
      <c r="AB25" s="8">
        <v>26.092944249091499</v>
      </c>
    </row>
    <row r="26" spans="1:28" ht="32" x14ac:dyDescent="0.2">
      <c r="A26" s="10" t="s">
        <v>591</v>
      </c>
      <c r="B26" s="39">
        <v>18</v>
      </c>
      <c r="C26" s="13">
        <v>1</v>
      </c>
      <c r="E26" s="8">
        <v>5.0228921021163204</v>
      </c>
      <c r="F26" s="40">
        <v>30</v>
      </c>
      <c r="G26" s="12">
        <f>SUM(B244:B257)</f>
        <v>116946.6</v>
      </c>
      <c r="H26" s="44">
        <f t="shared" si="6"/>
        <v>785084.95000000019</v>
      </c>
      <c r="I26" s="12">
        <f t="shared" si="1"/>
        <v>1019.5908441558444</v>
      </c>
      <c r="J26" s="8">
        <f t="shared" si="7"/>
        <v>984.94956499831301</v>
      </c>
      <c r="K26" s="41">
        <f t="shared" si="2"/>
        <v>2281.6120343444895</v>
      </c>
      <c r="L26" s="8">
        <f t="shared" si="3"/>
        <v>984.94956499831301</v>
      </c>
      <c r="M26" s="42">
        <f t="shared" si="4"/>
        <v>1200.0182216700164</v>
      </c>
      <c r="AA26" s="8">
        <f t="shared" si="5"/>
        <v>25</v>
      </c>
      <c r="AB26" s="8">
        <v>26.092944249091499</v>
      </c>
    </row>
    <row r="27" spans="1:28" ht="16" x14ac:dyDescent="0.2">
      <c r="A27" s="10" t="s">
        <v>592</v>
      </c>
      <c r="B27" s="39">
        <v>1585.5</v>
      </c>
      <c r="C27" s="13">
        <v>1</v>
      </c>
      <c r="E27" s="8">
        <v>5.0228921021163204</v>
      </c>
      <c r="F27" s="40">
        <v>32</v>
      </c>
      <c r="G27" s="12">
        <f>SUM(B258:B261)</f>
        <v>12484.48</v>
      </c>
      <c r="H27" s="44">
        <f t="shared" si="6"/>
        <v>797569.43000000017</v>
      </c>
      <c r="I27" s="12">
        <f t="shared" si="1"/>
        <v>1035.8044545454547</v>
      </c>
      <c r="J27" s="8">
        <f t="shared" si="7"/>
        <v>1037.135453496496</v>
      </c>
      <c r="K27" s="41">
        <f t="shared" si="2"/>
        <v>2282.8076598210268</v>
      </c>
      <c r="L27" s="8">
        <f t="shared" si="3"/>
        <v>1037.135453496496</v>
      </c>
      <c r="M27" s="42">
        <f t="shared" si="4"/>
        <v>1.7715582076728755</v>
      </c>
      <c r="AA27" s="8">
        <f t="shared" si="5"/>
        <v>26</v>
      </c>
      <c r="AB27" s="8">
        <v>26.092944249091499</v>
      </c>
    </row>
    <row r="28" spans="1:28" ht="16" x14ac:dyDescent="0.2">
      <c r="A28" s="10" t="s">
        <v>593</v>
      </c>
      <c r="B28" s="39">
        <v>79</v>
      </c>
      <c r="C28" s="13">
        <v>1</v>
      </c>
      <c r="E28" s="8">
        <v>5.0228921021163204</v>
      </c>
      <c r="F28" s="40">
        <v>34</v>
      </c>
      <c r="G28" s="12">
        <f>SUM(B262:B302)</f>
        <v>129811.80000000002</v>
      </c>
      <c r="H28" s="44">
        <f t="shared" si="6"/>
        <v>927381.23000000021</v>
      </c>
      <c r="I28" s="12">
        <f t="shared" si="1"/>
        <v>1204.391207792208</v>
      </c>
      <c r="J28" s="8">
        <f t="shared" si="7"/>
        <v>1089.321341994679</v>
      </c>
      <c r="K28" s="41">
        <f t="shared" si="2"/>
        <v>2284.0032852975646</v>
      </c>
      <c r="L28" s="8">
        <f t="shared" si="3"/>
        <v>1089.321341994679</v>
      </c>
      <c r="M28" s="42">
        <f t="shared" si="4"/>
        <v>13241.074014661339</v>
      </c>
      <c r="AA28" s="8">
        <f t="shared" si="5"/>
        <v>27</v>
      </c>
      <c r="AB28" s="8">
        <v>26.092944249091499</v>
      </c>
    </row>
    <row r="29" spans="1:28" ht="16" x14ac:dyDescent="0.2">
      <c r="A29" s="10" t="s">
        <v>594</v>
      </c>
      <c r="B29" s="39">
        <v>91</v>
      </c>
      <c r="C29" s="13">
        <v>1</v>
      </c>
      <c r="E29" s="8">
        <v>5.0228921021163204</v>
      </c>
      <c r="F29" s="40">
        <v>35</v>
      </c>
      <c r="G29" s="12">
        <f>SUM(B303:B307)</f>
        <v>8567.44</v>
      </c>
      <c r="H29" s="44">
        <f t="shared" si="6"/>
        <v>935948.67000000016</v>
      </c>
      <c r="I29" s="12">
        <f t="shared" si="1"/>
        <v>1215.5177532467535</v>
      </c>
      <c r="J29" s="8">
        <f t="shared" si="7"/>
        <v>1115.4142862437704</v>
      </c>
      <c r="K29" s="41">
        <f t="shared" si="2"/>
        <v>2284.6010980358333</v>
      </c>
      <c r="L29" s="8">
        <f t="shared" si="3"/>
        <v>1115.4142862437704</v>
      </c>
      <c r="M29" s="42">
        <f t="shared" si="4"/>
        <v>10020.704106017316</v>
      </c>
      <c r="AA29" s="8">
        <f t="shared" si="5"/>
        <v>28</v>
      </c>
      <c r="AB29" s="8">
        <v>26.092944249091499</v>
      </c>
    </row>
    <row r="30" spans="1:28" ht="16" x14ac:dyDescent="0.2">
      <c r="A30" s="10" t="s">
        <v>595</v>
      </c>
      <c r="B30" s="39">
        <v>3</v>
      </c>
      <c r="C30" s="13">
        <v>1</v>
      </c>
      <c r="E30" s="8">
        <v>5.0228921021163204</v>
      </c>
      <c r="F30" s="40">
        <v>36</v>
      </c>
      <c r="G30" s="12">
        <f>SUM(B308:B311)</f>
        <v>9467.09</v>
      </c>
      <c r="H30" s="44">
        <f t="shared" si="6"/>
        <v>945415.76000000013</v>
      </c>
      <c r="I30" s="12">
        <f t="shared" si="1"/>
        <v>1227.8126753246754</v>
      </c>
      <c r="J30" s="8">
        <f t="shared" si="7"/>
        <v>1141.5072304928619</v>
      </c>
      <c r="K30" s="41">
        <f t="shared" si="2"/>
        <v>2285.1989107741019</v>
      </c>
      <c r="L30" s="8">
        <f t="shared" si="3"/>
        <v>1141.5072304928619</v>
      </c>
      <c r="M30" s="42">
        <f t="shared" si="4"/>
        <v>7448.6298076171988</v>
      </c>
      <c r="AA30" s="8">
        <f t="shared" si="5"/>
        <v>29</v>
      </c>
      <c r="AB30" s="8">
        <v>26.092944249091499</v>
      </c>
    </row>
    <row r="31" spans="1:28" ht="16" x14ac:dyDescent="0.2">
      <c r="A31" s="10" t="s">
        <v>596</v>
      </c>
      <c r="B31" s="39">
        <v>6</v>
      </c>
      <c r="C31" s="13">
        <v>1</v>
      </c>
      <c r="E31" s="8">
        <v>5.0228921021163204</v>
      </c>
      <c r="F31" s="40">
        <v>37</v>
      </c>
      <c r="G31" s="12">
        <f>SUM(B312:B324)</f>
        <v>15216.37</v>
      </c>
      <c r="H31" s="44">
        <f t="shared" si="6"/>
        <v>960632.13000000012</v>
      </c>
      <c r="I31" s="12">
        <f t="shared" si="1"/>
        <v>1247.574194805195</v>
      </c>
      <c r="J31" s="8">
        <f t="shared" si="7"/>
        <v>1167.6001747419534</v>
      </c>
      <c r="K31" s="41">
        <f t="shared" si="2"/>
        <v>2285.7967235123706</v>
      </c>
      <c r="L31" s="8">
        <f t="shared" si="3"/>
        <v>1167.6001747419534</v>
      </c>
      <c r="M31" s="42">
        <f t="shared" si="4"/>
        <v>6395.8438850757693</v>
      </c>
      <c r="AA31" s="8">
        <f t="shared" si="5"/>
        <v>30</v>
      </c>
      <c r="AB31" s="8">
        <v>26.092944249091499</v>
      </c>
    </row>
    <row r="32" spans="1:28" ht="32" x14ac:dyDescent="0.2">
      <c r="A32" s="10" t="s">
        <v>599</v>
      </c>
      <c r="B32" s="39">
        <v>500</v>
      </c>
      <c r="C32" s="13">
        <v>1</v>
      </c>
      <c r="E32" s="8">
        <v>5.0228921021163204</v>
      </c>
      <c r="F32" s="40">
        <v>38</v>
      </c>
      <c r="G32" s="12">
        <f>SUM(B325:B332)</f>
        <v>31453.059999999998</v>
      </c>
      <c r="H32" s="44">
        <f t="shared" si="6"/>
        <v>992085.19000000018</v>
      </c>
      <c r="I32" s="12">
        <f t="shared" si="1"/>
        <v>1288.4223246753249</v>
      </c>
      <c r="J32" s="8">
        <f t="shared" si="7"/>
        <v>1193.6931189910449</v>
      </c>
      <c r="K32" s="41">
        <f t="shared" si="2"/>
        <v>2286.3945362506397</v>
      </c>
      <c r="L32" s="8">
        <f t="shared" si="3"/>
        <v>1193.6931189910449</v>
      </c>
      <c r="M32" s="42">
        <f t="shared" si="4"/>
        <v>8973.6224095746329</v>
      </c>
      <c r="AA32" s="8">
        <f t="shared" si="5"/>
        <v>31</v>
      </c>
      <c r="AB32" s="8">
        <v>26.092944249091499</v>
      </c>
    </row>
    <row r="33" spans="1:28" ht="32" x14ac:dyDescent="0.2">
      <c r="A33" s="10" t="s">
        <v>599</v>
      </c>
      <c r="B33" s="39">
        <v>500</v>
      </c>
      <c r="C33" s="13">
        <v>1</v>
      </c>
      <c r="E33" s="8">
        <v>5.0228921021163204</v>
      </c>
      <c r="F33" s="40">
        <v>39</v>
      </c>
      <c r="G33" s="12">
        <f>SUM(B333:B342)</f>
        <v>19989.75</v>
      </c>
      <c r="H33" s="44">
        <f t="shared" si="6"/>
        <v>1012074.9400000002</v>
      </c>
      <c r="I33" s="12">
        <f t="shared" si="1"/>
        <v>1314.3830389610391</v>
      </c>
      <c r="J33" s="8">
        <f t="shared" si="7"/>
        <v>1219.7860632401364</v>
      </c>
      <c r="K33" s="41">
        <f t="shared" si="2"/>
        <v>2286.9923489889084</v>
      </c>
      <c r="L33" s="8">
        <f t="shared" si="3"/>
        <v>1219.7860632401364</v>
      </c>
      <c r="M33" s="42">
        <f t="shared" si="4"/>
        <v>8948.5878155410592</v>
      </c>
      <c r="AA33" s="8">
        <f t="shared" si="5"/>
        <v>32</v>
      </c>
      <c r="AB33" s="8">
        <v>26.092944249091499</v>
      </c>
    </row>
    <row r="34" spans="1:28" ht="32" x14ac:dyDescent="0.2">
      <c r="A34" s="10" t="s">
        <v>610</v>
      </c>
      <c r="B34" s="39">
        <v>500</v>
      </c>
      <c r="C34" s="13">
        <v>1</v>
      </c>
      <c r="E34" s="8">
        <v>5.0228921021163204</v>
      </c>
      <c r="F34" s="40">
        <v>40</v>
      </c>
      <c r="G34" s="12">
        <f>SUM(B343:B351)</f>
        <v>9728.85</v>
      </c>
      <c r="H34" s="44">
        <f t="shared" si="6"/>
        <v>1021803.7900000002</v>
      </c>
      <c r="I34" s="12">
        <f t="shared" si="1"/>
        <v>1327.0179090909094</v>
      </c>
      <c r="J34" s="8">
        <f t="shared" si="7"/>
        <v>1245.8790074892279</v>
      </c>
      <c r="K34" s="41">
        <f t="shared" si="2"/>
        <v>2287.590161727177</v>
      </c>
      <c r="L34" s="8">
        <f t="shared" si="3"/>
        <v>1245.8790074892279</v>
      </c>
      <c r="M34" s="42">
        <f t="shared" si="4"/>
        <v>6583.5213531273494</v>
      </c>
      <c r="AA34" s="8">
        <f t="shared" si="5"/>
        <v>33</v>
      </c>
      <c r="AB34" s="8">
        <v>26.092944249091499</v>
      </c>
    </row>
    <row r="35" spans="1:28" ht="48" x14ac:dyDescent="0.2">
      <c r="A35" s="10" t="s">
        <v>633</v>
      </c>
      <c r="B35" s="39">
        <v>99590</v>
      </c>
      <c r="C35" s="13">
        <v>1</v>
      </c>
      <c r="E35" s="8">
        <v>5.0228921021163204</v>
      </c>
      <c r="F35" s="40">
        <v>41</v>
      </c>
      <c r="G35" s="12">
        <f>SUM(B352:B384)</f>
        <v>32613.540000000005</v>
      </c>
      <c r="H35" s="44">
        <f t="shared" si="6"/>
        <v>1054417.33</v>
      </c>
      <c r="I35" s="12">
        <f t="shared" si="1"/>
        <v>1369.3731558441559</v>
      </c>
      <c r="J35" s="8">
        <f t="shared" si="7"/>
        <v>1271.9719517383194</v>
      </c>
      <c r="K35" s="41">
        <f t="shared" si="2"/>
        <v>2288.1879744654457</v>
      </c>
      <c r="L35" s="8">
        <f t="shared" si="3"/>
        <v>1271.9719517383194</v>
      </c>
      <c r="M35" s="42">
        <f t="shared" si="4"/>
        <v>9486.9945612668289</v>
      </c>
      <c r="AA35" s="8">
        <f t="shared" si="5"/>
        <v>34</v>
      </c>
      <c r="AB35" s="8">
        <v>26.092944249091499</v>
      </c>
    </row>
    <row r="36" spans="1:28" ht="48" x14ac:dyDescent="0.2">
      <c r="A36" s="10" t="s">
        <v>665</v>
      </c>
      <c r="B36" s="39">
        <v>199.84</v>
      </c>
      <c r="C36" s="13">
        <v>1</v>
      </c>
      <c r="E36" s="8">
        <v>5.0228921021163204</v>
      </c>
      <c r="F36" s="40">
        <v>42</v>
      </c>
      <c r="G36" s="12">
        <f>SUM(B385:B386)</f>
        <v>1675.7</v>
      </c>
      <c r="H36" s="44">
        <f t="shared" si="6"/>
        <v>1056093.03</v>
      </c>
      <c r="I36" s="12">
        <f t="shared" si="1"/>
        <v>1371.5493896103897</v>
      </c>
      <c r="J36" s="8">
        <f t="shared" si="7"/>
        <v>1298.0648959874109</v>
      </c>
      <c r="K36" s="41">
        <f t="shared" si="2"/>
        <v>2288.7857872037148</v>
      </c>
      <c r="L36" s="8">
        <f t="shared" si="3"/>
        <v>1298.0648959874109</v>
      </c>
      <c r="M36" s="42">
        <f t="shared" si="4"/>
        <v>5399.9708030256106</v>
      </c>
      <c r="AA36" s="8">
        <f t="shared" si="5"/>
        <v>35</v>
      </c>
      <c r="AB36" s="8">
        <v>26.092944249091499</v>
      </c>
    </row>
    <row r="37" spans="1:28" ht="48" x14ac:dyDescent="0.2">
      <c r="A37" s="10" t="s">
        <v>673</v>
      </c>
      <c r="B37" s="39">
        <v>4670.1499999999996</v>
      </c>
      <c r="C37" s="13">
        <v>1</v>
      </c>
      <c r="E37" s="8">
        <v>5.0228921021163204</v>
      </c>
      <c r="F37" s="40">
        <v>46</v>
      </c>
      <c r="G37" s="12">
        <f>SUM(B387)</f>
        <v>424</v>
      </c>
      <c r="H37" s="44">
        <f t="shared" si="6"/>
        <v>1056517.03</v>
      </c>
      <c r="I37" s="12">
        <f t="shared" si="1"/>
        <v>1372.100038961039</v>
      </c>
      <c r="J37" s="8">
        <f t="shared" si="7"/>
        <v>1402.4366729837768</v>
      </c>
      <c r="K37" s="41">
        <f t="shared" si="2"/>
        <v>2291.1770381567899</v>
      </c>
      <c r="L37" s="8">
        <f t="shared" si="3"/>
        <v>1402.4366729837768</v>
      </c>
      <c r="M37" s="42">
        <f t="shared" si="4"/>
        <v>920.31136382953423</v>
      </c>
      <c r="AA37" s="8">
        <f t="shared" si="5"/>
        <v>36</v>
      </c>
      <c r="AB37" s="8">
        <v>26.092944249091499</v>
      </c>
    </row>
    <row r="38" spans="1:28" ht="48" x14ac:dyDescent="0.2">
      <c r="A38" s="10" t="s">
        <v>732</v>
      </c>
      <c r="B38" s="39">
        <v>216.05</v>
      </c>
      <c r="C38" s="13">
        <v>1</v>
      </c>
      <c r="E38" s="8">
        <v>5.0228921021163204</v>
      </c>
      <c r="F38" s="40">
        <v>48</v>
      </c>
      <c r="G38" s="12">
        <f>SUM(B388:B399)</f>
        <v>44606.35</v>
      </c>
      <c r="H38" s="44">
        <f t="shared" si="6"/>
        <v>1101123.3800000001</v>
      </c>
      <c r="I38" s="12">
        <f t="shared" si="1"/>
        <v>1430.0303636363637</v>
      </c>
      <c r="J38" s="8">
        <f t="shared" si="7"/>
        <v>1454.6225614819598</v>
      </c>
      <c r="K38" s="41">
        <f t="shared" si="2"/>
        <v>2292.3726636333272</v>
      </c>
      <c r="L38" s="8">
        <f t="shared" si="3"/>
        <v>1454.6225614819598</v>
      </c>
      <c r="M38" s="42">
        <f t="shared" si="4"/>
        <v>604.7761948769388</v>
      </c>
      <c r="AA38" s="8">
        <f t="shared" si="5"/>
        <v>37</v>
      </c>
      <c r="AB38" s="8">
        <v>26.092944249091499</v>
      </c>
    </row>
    <row r="39" spans="1:28" ht="32" x14ac:dyDescent="0.2">
      <c r="A39" s="10" t="s">
        <v>733</v>
      </c>
      <c r="B39" s="39">
        <v>216.05</v>
      </c>
      <c r="C39" s="13">
        <v>1</v>
      </c>
      <c r="E39" s="8">
        <v>5.0228921021163204</v>
      </c>
      <c r="F39" s="40">
        <v>50</v>
      </c>
      <c r="G39" s="12">
        <f>SUM(B400:B414)</f>
        <v>36918.39</v>
      </c>
      <c r="H39" s="44">
        <f t="shared" si="6"/>
        <v>1138041.77</v>
      </c>
      <c r="I39" s="12">
        <f t="shared" si="1"/>
        <v>1477.9763246753248</v>
      </c>
      <c r="J39" s="8">
        <f t="shared" si="7"/>
        <v>1506.8084499801428</v>
      </c>
      <c r="K39" s="41">
        <f t="shared" si="2"/>
        <v>2293.568289109865</v>
      </c>
      <c r="L39" s="8">
        <f t="shared" si="3"/>
        <v>1506.8084499801428</v>
      </c>
      <c r="M39" s="42">
        <f t="shared" si="4"/>
        <v>831.29144959272435</v>
      </c>
      <c r="AA39" s="8">
        <f t="shared" si="5"/>
        <v>38</v>
      </c>
      <c r="AB39" s="8">
        <v>26.092944249091499</v>
      </c>
    </row>
    <row r="40" spans="1:28" ht="32" x14ac:dyDescent="0.2">
      <c r="A40" s="10" t="s">
        <v>741</v>
      </c>
      <c r="B40" s="39">
        <v>123.12</v>
      </c>
      <c r="C40" s="13">
        <v>1</v>
      </c>
      <c r="E40" s="8">
        <v>5.0228921021163204</v>
      </c>
      <c r="F40" s="40">
        <v>51</v>
      </c>
      <c r="G40" s="12">
        <f>B415</f>
        <v>2168.1</v>
      </c>
      <c r="H40" s="44">
        <f t="shared" si="6"/>
        <v>1140209.8700000001</v>
      </c>
      <c r="I40" s="12">
        <f t="shared" si="1"/>
        <v>1480.792038961039</v>
      </c>
      <c r="J40" s="8">
        <f t="shared" si="7"/>
        <v>1532.9013942292343</v>
      </c>
      <c r="K40" s="41">
        <f t="shared" si="2"/>
        <v>2294.1661018481336</v>
      </c>
      <c r="L40" s="8">
        <f t="shared" si="3"/>
        <v>1532.9013942292343</v>
      </c>
      <c r="M40" s="42">
        <f t="shared" si="4"/>
        <v>2715.3849064669889</v>
      </c>
      <c r="AA40" s="8">
        <f t="shared" si="5"/>
        <v>39</v>
      </c>
      <c r="AB40" s="8">
        <v>26.092944249091499</v>
      </c>
    </row>
    <row r="41" spans="1:28" ht="32" x14ac:dyDescent="0.2">
      <c r="A41" s="10" t="s">
        <v>742</v>
      </c>
      <c r="B41" s="39">
        <v>59.41</v>
      </c>
      <c r="C41" s="13">
        <v>1</v>
      </c>
      <c r="E41" s="8">
        <v>5.0228921021163204</v>
      </c>
      <c r="F41" s="40">
        <v>52</v>
      </c>
      <c r="G41" s="12">
        <f>SUM(B416:B421)</f>
        <v>32761.75</v>
      </c>
      <c r="H41" s="44">
        <f t="shared" si="6"/>
        <v>1172971.6200000001</v>
      </c>
      <c r="I41" s="12">
        <f t="shared" si="1"/>
        <v>1523.3397662337663</v>
      </c>
      <c r="J41" s="8">
        <f t="shared" si="7"/>
        <v>1558.9943384783257</v>
      </c>
      <c r="K41" s="41">
        <f t="shared" si="2"/>
        <v>2294.7639145864023</v>
      </c>
      <c r="L41" s="8">
        <f t="shared" si="3"/>
        <v>1558.9943384783257</v>
      </c>
      <c r="M41" s="42">
        <f t="shared" si="4"/>
        <v>1271.2485219425057</v>
      </c>
      <c r="AA41" s="8">
        <f t="shared" si="5"/>
        <v>40</v>
      </c>
      <c r="AB41" s="8">
        <v>26.092944249091499</v>
      </c>
    </row>
    <row r="42" spans="1:28" ht="48" x14ac:dyDescent="0.2">
      <c r="A42" s="10" t="s">
        <v>743</v>
      </c>
      <c r="B42" s="39">
        <v>448.3</v>
      </c>
      <c r="C42" s="13">
        <v>1</v>
      </c>
      <c r="E42" s="8">
        <v>5.0228921021163204</v>
      </c>
      <c r="F42" s="40">
        <v>53</v>
      </c>
      <c r="G42" s="12">
        <f>SUM(B422:B458)</f>
        <v>30059.389999999996</v>
      </c>
      <c r="H42" s="44">
        <f t="shared" si="6"/>
        <v>1203031.01</v>
      </c>
      <c r="I42" s="12">
        <f t="shared" si="1"/>
        <v>1562.3779350649352</v>
      </c>
      <c r="J42" s="8">
        <f t="shared" si="7"/>
        <v>1585.0872827274172</v>
      </c>
      <c r="K42" s="41">
        <f t="shared" si="2"/>
        <v>2295.3617273246714</v>
      </c>
      <c r="L42" s="8">
        <f t="shared" si="3"/>
        <v>1585.0872827274172</v>
      </c>
      <c r="M42" s="42">
        <f t="shared" si="4"/>
        <v>515.71447125547934</v>
      </c>
      <c r="AA42" s="8">
        <f t="shared" si="5"/>
        <v>41</v>
      </c>
      <c r="AB42" s="8">
        <v>26.092944249091499</v>
      </c>
    </row>
    <row r="43" spans="1:28" ht="32" x14ac:dyDescent="0.2">
      <c r="A43" s="10" t="s">
        <v>741</v>
      </c>
      <c r="B43" s="39">
        <v>111.24</v>
      </c>
      <c r="C43" s="13">
        <v>1</v>
      </c>
      <c r="E43" s="8">
        <v>5.0228921021163204</v>
      </c>
      <c r="F43" s="40">
        <v>56</v>
      </c>
      <c r="G43" s="12">
        <f>SUM(B459:B469)</f>
        <v>28353.200000000001</v>
      </c>
      <c r="H43" s="44">
        <f t="shared" si="6"/>
        <v>1231384.21</v>
      </c>
      <c r="I43" s="12">
        <f t="shared" si="1"/>
        <v>1599.2002727272727</v>
      </c>
      <c r="J43" s="8">
        <f t="shared" si="7"/>
        <v>1663.3661154746919</v>
      </c>
      <c r="K43" s="41">
        <f t="shared" si="2"/>
        <v>2297.1551655394774</v>
      </c>
      <c r="L43" s="8">
        <f t="shared" si="3"/>
        <v>1663.3661154746919</v>
      </c>
      <c r="M43" s="42">
        <f t="shared" si="4"/>
        <v>4117.2553754865312</v>
      </c>
      <c r="AA43" s="8">
        <f t="shared" si="5"/>
        <v>42</v>
      </c>
      <c r="AB43" s="8">
        <v>26.092944249091499</v>
      </c>
    </row>
    <row r="44" spans="1:28" ht="32" x14ac:dyDescent="0.2">
      <c r="A44" s="10" t="s">
        <v>741</v>
      </c>
      <c r="B44" s="39">
        <v>66.959999999999994</v>
      </c>
      <c r="C44" s="13">
        <v>1</v>
      </c>
      <c r="E44" s="8">
        <v>5.0228921021163204</v>
      </c>
      <c r="F44" s="40">
        <v>60</v>
      </c>
      <c r="G44" s="12">
        <f>SUM(B470:B511)</f>
        <v>170420.02</v>
      </c>
      <c r="H44" s="44">
        <f t="shared" si="6"/>
        <v>1401804.23</v>
      </c>
      <c r="I44" s="12">
        <f t="shared" si="1"/>
        <v>1820.524974025974</v>
      </c>
      <c r="J44" s="8">
        <f t="shared" si="7"/>
        <v>1767.7378924710579</v>
      </c>
      <c r="K44" s="41">
        <f t="shared" si="2"/>
        <v>2299.5464164925525</v>
      </c>
      <c r="L44" s="8">
        <f t="shared" si="3"/>
        <v>1767.7378924710579</v>
      </c>
      <c r="M44" s="42">
        <f t="shared" si="4"/>
        <v>2786.4759790853618</v>
      </c>
      <c r="AA44" s="8">
        <f t="shared" si="5"/>
        <v>43</v>
      </c>
      <c r="AB44" s="8">
        <v>26.092944249091499</v>
      </c>
    </row>
    <row r="45" spans="1:28" ht="16" x14ac:dyDescent="0.2">
      <c r="A45" s="10" t="s">
        <v>764</v>
      </c>
      <c r="B45" s="39">
        <v>810.18</v>
      </c>
      <c r="C45" s="13">
        <v>1</v>
      </c>
      <c r="E45" s="8">
        <v>5.0228921021163204</v>
      </c>
      <c r="F45" s="40">
        <v>62</v>
      </c>
      <c r="G45" s="12">
        <f>SUM(B512:B516)</f>
        <v>14572</v>
      </c>
      <c r="H45" s="44">
        <f t="shared" si="6"/>
        <v>1416376.23</v>
      </c>
      <c r="I45" s="12">
        <f t="shared" si="1"/>
        <v>1839.4496493506492</v>
      </c>
      <c r="J45" s="8">
        <f t="shared" si="7"/>
        <v>1819.9237809692409</v>
      </c>
      <c r="K45" s="41">
        <f t="shared" si="2"/>
        <v>2300.7420419690902</v>
      </c>
      <c r="L45" s="8">
        <f t="shared" si="3"/>
        <v>1819.9237809692409</v>
      </c>
      <c r="M45" s="42">
        <f t="shared" si="4"/>
        <v>381.25953604808319</v>
      </c>
      <c r="AA45" s="8">
        <f t="shared" si="5"/>
        <v>44</v>
      </c>
      <c r="AB45" s="8">
        <v>26.092944249091499</v>
      </c>
    </row>
    <row r="46" spans="1:28" ht="16" x14ac:dyDescent="0.2">
      <c r="A46" s="10" t="s">
        <v>765</v>
      </c>
      <c r="B46" s="39">
        <v>378.08</v>
      </c>
      <c r="C46" s="13">
        <v>1</v>
      </c>
      <c r="E46" s="8">
        <v>5.0228921021163204</v>
      </c>
      <c r="F46" s="40">
        <v>63</v>
      </c>
      <c r="G46" s="12">
        <f>SUM(B517:B518)</f>
        <v>6650.76</v>
      </c>
      <c r="H46" s="44">
        <f t="shared" si="6"/>
        <v>1423026.99</v>
      </c>
      <c r="I46" s="12">
        <f t="shared" si="1"/>
        <v>1848.087</v>
      </c>
      <c r="J46" s="8">
        <f t="shared" si="7"/>
        <v>1846.0167252183323</v>
      </c>
      <c r="K46" s="41">
        <f t="shared" si="2"/>
        <v>2301.3398547073589</v>
      </c>
      <c r="L46" s="8">
        <f t="shared" si="3"/>
        <v>1846.0167252183323</v>
      </c>
      <c r="M46" s="42">
        <f t="shared" si="4"/>
        <v>4.2860376716090327</v>
      </c>
      <c r="AA46" s="8">
        <f t="shared" si="5"/>
        <v>45</v>
      </c>
      <c r="AB46" s="8">
        <v>26.092944249091499</v>
      </c>
    </row>
    <row r="47" spans="1:28" ht="16" x14ac:dyDescent="0.2">
      <c r="A47" s="10" t="s">
        <v>766</v>
      </c>
      <c r="B47" s="39">
        <v>324.07</v>
      </c>
      <c r="C47" s="13">
        <v>1</v>
      </c>
      <c r="E47" s="8">
        <v>5.0228921021163204</v>
      </c>
      <c r="F47" s="40">
        <v>68</v>
      </c>
      <c r="G47" s="12">
        <f>SUM(B519:B523)</f>
        <v>5809.4899999999989</v>
      </c>
      <c r="H47" s="44">
        <f t="shared" si="6"/>
        <v>1428836.48</v>
      </c>
      <c r="I47" s="12">
        <f t="shared" si="1"/>
        <v>1855.6317922077922</v>
      </c>
      <c r="J47" s="8">
        <f t="shared" si="7"/>
        <v>1976.4814464637898</v>
      </c>
      <c r="K47" s="41">
        <f t="shared" si="2"/>
        <v>2304.3289183987026</v>
      </c>
      <c r="L47" s="8">
        <f t="shared" si="3"/>
        <v>1976.4814464637898</v>
      </c>
      <c r="M47" s="42">
        <f t="shared" si="4"/>
        <v>14604.638933794164</v>
      </c>
      <c r="AA47" s="8">
        <f t="shared" si="5"/>
        <v>46</v>
      </c>
      <c r="AB47" s="8">
        <v>26.092944249091499</v>
      </c>
    </row>
    <row r="48" spans="1:28" ht="16" x14ac:dyDescent="0.2">
      <c r="A48" s="10" t="s">
        <v>767</v>
      </c>
      <c r="B48" s="39">
        <v>270.06</v>
      </c>
      <c r="C48" s="13">
        <v>1</v>
      </c>
      <c r="E48" s="8">
        <v>5.0228921021163204</v>
      </c>
      <c r="F48" s="40">
        <v>70</v>
      </c>
      <c r="G48" s="12">
        <f>SUM(B524:B529)</f>
        <v>45921.670000000006</v>
      </c>
      <c r="H48" s="44">
        <f t="shared" si="6"/>
        <v>1474758.15</v>
      </c>
      <c r="I48" s="12">
        <f t="shared" si="1"/>
        <v>1915.2703246753244</v>
      </c>
      <c r="J48" s="8">
        <f t="shared" si="7"/>
        <v>2028.6673349619728</v>
      </c>
      <c r="K48" s="41">
        <f t="shared" si="2"/>
        <v>2305.5245438752404</v>
      </c>
      <c r="L48" s="8">
        <f t="shared" si="3"/>
        <v>2028.6673349619728</v>
      </c>
      <c r="M48" s="42">
        <f t="shared" si="4"/>
        <v>12858.881941950223</v>
      </c>
      <c r="AA48" s="8">
        <f t="shared" si="5"/>
        <v>47</v>
      </c>
      <c r="AB48" s="8">
        <v>26.092944249091499</v>
      </c>
    </row>
    <row r="49" spans="1:28" ht="16" x14ac:dyDescent="0.2">
      <c r="A49" s="10" t="s">
        <v>768</v>
      </c>
      <c r="B49" s="39">
        <v>194.44</v>
      </c>
      <c r="C49" s="13">
        <v>1</v>
      </c>
      <c r="E49" s="8">
        <v>5.0228921021163204</v>
      </c>
      <c r="F49" s="40">
        <v>71</v>
      </c>
      <c r="G49" s="12">
        <f>SUM(B530:B532)</f>
        <v>2868.45</v>
      </c>
      <c r="H49" s="44">
        <f t="shared" si="6"/>
        <v>1477626.5999999999</v>
      </c>
      <c r="I49" s="12">
        <f t="shared" si="1"/>
        <v>1918.9955844155843</v>
      </c>
      <c r="J49" s="8">
        <f t="shared" si="7"/>
        <v>2054.7602792110642</v>
      </c>
      <c r="K49" s="41">
        <f t="shared" si="2"/>
        <v>2306.1223566135091</v>
      </c>
      <c r="L49" s="8">
        <f t="shared" si="3"/>
        <v>2054.7602792110642</v>
      </c>
      <c r="M49" s="42">
        <f t="shared" si="4"/>
        <v>18432.052352909821</v>
      </c>
      <c r="AA49" s="8">
        <f t="shared" si="5"/>
        <v>48</v>
      </c>
      <c r="AB49" s="8">
        <v>26.092944249091499</v>
      </c>
    </row>
    <row r="50" spans="1:28" ht="32" x14ac:dyDescent="0.2">
      <c r="A50" s="10" t="s">
        <v>769</v>
      </c>
      <c r="B50" s="39">
        <v>216.05</v>
      </c>
      <c r="C50" s="13">
        <v>1</v>
      </c>
      <c r="E50" s="8">
        <v>5.0228921021163204</v>
      </c>
      <c r="F50" s="40">
        <v>72</v>
      </c>
      <c r="G50" s="12">
        <f>SUM(B533:B561)</f>
        <v>197731.88</v>
      </c>
      <c r="H50" s="44">
        <f t="shared" si="6"/>
        <v>1675358.48</v>
      </c>
      <c r="I50" s="12">
        <f t="shared" si="1"/>
        <v>2175.7902337662335</v>
      </c>
      <c r="J50" s="8">
        <f t="shared" si="7"/>
        <v>2080.8532234601557</v>
      </c>
      <c r="K50" s="41">
        <f t="shared" si="2"/>
        <v>2306.7201693517777</v>
      </c>
      <c r="L50" s="8">
        <f t="shared" si="3"/>
        <v>2080.8532234601557</v>
      </c>
      <c r="M50" s="42">
        <f t="shared" si="4"/>
        <v>9013.035925856324</v>
      </c>
      <c r="AA50" s="8">
        <f t="shared" si="5"/>
        <v>49</v>
      </c>
      <c r="AB50" s="8">
        <v>26.092944249091499</v>
      </c>
    </row>
    <row r="51" spans="1:28" ht="16" x14ac:dyDescent="0.2">
      <c r="A51" s="10" t="s">
        <v>770</v>
      </c>
      <c r="B51" s="39">
        <v>216.05</v>
      </c>
      <c r="C51" s="13">
        <v>1</v>
      </c>
      <c r="E51" s="8">
        <v>5.0228921021163204</v>
      </c>
      <c r="F51" s="40">
        <v>73</v>
      </c>
      <c r="G51" s="12">
        <f>SUM(B562:B564)</f>
        <v>5690</v>
      </c>
      <c r="H51" s="44">
        <f t="shared" si="6"/>
        <v>1681048.48</v>
      </c>
      <c r="I51" s="12">
        <f t="shared" si="1"/>
        <v>2183.179844155844</v>
      </c>
      <c r="J51" s="8">
        <f t="shared" si="7"/>
        <v>2106.9461677092472</v>
      </c>
      <c r="K51" s="41">
        <f t="shared" si="2"/>
        <v>2307.3179820900468</v>
      </c>
      <c r="L51" s="8">
        <f t="shared" si="3"/>
        <v>2106.9461677092472</v>
      </c>
      <c r="M51" s="42">
        <f t="shared" si="4"/>
        <v>5811.5734245643998</v>
      </c>
      <c r="AA51" s="8">
        <f t="shared" si="5"/>
        <v>50</v>
      </c>
      <c r="AB51" s="8">
        <v>26.092944249091499</v>
      </c>
    </row>
    <row r="52" spans="1:28" ht="32" x14ac:dyDescent="0.2">
      <c r="A52" s="10" t="s">
        <v>807</v>
      </c>
      <c r="B52" s="39">
        <v>66.959999999999994</v>
      </c>
      <c r="C52" s="13">
        <v>1</v>
      </c>
      <c r="E52" s="8">
        <v>5.0228921021163204</v>
      </c>
      <c r="F52" s="40">
        <v>75</v>
      </c>
      <c r="G52" s="12">
        <f>SUM(B565:B599)</f>
        <v>62084.169999999976</v>
      </c>
      <c r="H52" s="44">
        <f t="shared" si="6"/>
        <v>1743132.65</v>
      </c>
      <c r="I52" s="12">
        <f t="shared" si="1"/>
        <v>2263.8086363636362</v>
      </c>
      <c r="J52" s="8">
        <f t="shared" si="7"/>
        <v>2159.1320562074307</v>
      </c>
      <c r="K52" s="41">
        <f t="shared" si="2"/>
        <v>2308.5136075665841</v>
      </c>
      <c r="L52" s="8">
        <f t="shared" si="3"/>
        <v>2159.1320562074307</v>
      </c>
      <c r="M52" s="42">
        <f t="shared" si="4"/>
        <v>10957.186433198525</v>
      </c>
      <c r="AA52" s="8">
        <f t="shared" si="5"/>
        <v>51</v>
      </c>
      <c r="AB52" s="8">
        <v>26.092944249091499</v>
      </c>
    </row>
    <row r="53" spans="1:28" ht="16" x14ac:dyDescent="0.2">
      <c r="A53" s="10" t="s">
        <v>764</v>
      </c>
      <c r="B53" s="39">
        <v>810.18</v>
      </c>
      <c r="C53" s="13">
        <v>1</v>
      </c>
      <c r="E53" s="8">
        <v>5.0228921021163204</v>
      </c>
      <c r="F53" s="40">
        <v>76</v>
      </c>
      <c r="G53" s="12">
        <f>SUM(B600:B603)</f>
        <v>729.06</v>
      </c>
      <c r="H53" s="44">
        <f t="shared" si="6"/>
        <v>1743861.71</v>
      </c>
      <c r="I53" s="12">
        <f t="shared" si="1"/>
        <v>2264.7554675324673</v>
      </c>
      <c r="J53" s="8">
        <f t="shared" si="7"/>
        <v>2185.2250004565221</v>
      </c>
      <c r="K53" s="41">
        <f t="shared" si="2"/>
        <v>2309.1114203048528</v>
      </c>
      <c r="L53" s="8">
        <f t="shared" si="3"/>
        <v>2185.2250004565221</v>
      </c>
      <c r="M53" s="42">
        <f t="shared" si="4"/>
        <v>6325.0951933179913</v>
      </c>
      <c r="AA53" s="8">
        <f t="shared" si="5"/>
        <v>52</v>
      </c>
      <c r="AB53" s="8">
        <v>26.092944249091499</v>
      </c>
    </row>
    <row r="54" spans="1:28" ht="16" x14ac:dyDescent="0.2">
      <c r="A54" s="10" t="s">
        <v>765</v>
      </c>
      <c r="B54" s="39">
        <v>378.08</v>
      </c>
      <c r="C54" s="13">
        <v>1</v>
      </c>
      <c r="E54" s="8">
        <v>5.0228921021163204</v>
      </c>
      <c r="F54" s="40">
        <v>80</v>
      </c>
      <c r="G54" s="12">
        <f>SUM(B604:B611)</f>
        <v>14201.34</v>
      </c>
      <c r="H54" s="44">
        <f t="shared" si="6"/>
        <v>1758063.05</v>
      </c>
      <c r="I54" s="12">
        <f t="shared" si="1"/>
        <v>2283.1987662337665</v>
      </c>
      <c r="J54" s="8">
        <f t="shared" si="7"/>
        <v>2289.5967774528881</v>
      </c>
      <c r="K54" s="41">
        <f t="shared" si="2"/>
        <v>2311.5026712579279</v>
      </c>
      <c r="L54" s="8">
        <f t="shared" si="3"/>
        <v>2289.5967774528881</v>
      </c>
      <c r="M54" s="42">
        <f t="shared" si="4"/>
        <v>40.934547560005853</v>
      </c>
      <c r="AA54" s="8">
        <f t="shared" si="5"/>
        <v>53</v>
      </c>
      <c r="AB54" s="8">
        <v>26.092944249091499</v>
      </c>
    </row>
    <row r="55" spans="1:28" ht="16" x14ac:dyDescent="0.2">
      <c r="A55" s="10" t="s">
        <v>766</v>
      </c>
      <c r="B55" s="39">
        <v>324.07</v>
      </c>
      <c r="C55" s="13">
        <v>1</v>
      </c>
      <c r="E55" s="8">
        <v>0.115078372920652</v>
      </c>
      <c r="F55" s="40">
        <v>82</v>
      </c>
      <c r="G55" s="12">
        <f>SUM(B612:B616)</f>
        <v>7163.329999999999</v>
      </c>
      <c r="H55" s="44">
        <f t="shared" si="6"/>
        <v>1765226.3800000001</v>
      </c>
      <c r="I55" s="12">
        <f t="shared" si="1"/>
        <v>2292.5017922077923</v>
      </c>
      <c r="J55" s="8">
        <f t="shared" si="7"/>
        <v>2341.7826659510711</v>
      </c>
      <c r="K55" s="41">
        <f t="shared" si="2"/>
        <v>2312.6982967344657</v>
      </c>
      <c r="L55" s="8">
        <f t="shared" si="3"/>
        <v>2312.6982967344657</v>
      </c>
      <c r="M55" s="42">
        <f t="shared" si="4"/>
        <v>407.89879509593834</v>
      </c>
      <c r="AA55" s="8">
        <f t="shared" si="5"/>
        <v>54</v>
      </c>
      <c r="AB55" s="8">
        <v>26.092944249091499</v>
      </c>
    </row>
    <row r="56" spans="1:28" ht="16" x14ac:dyDescent="0.2">
      <c r="A56" s="10" t="s">
        <v>767</v>
      </c>
      <c r="B56" s="39">
        <v>270.06</v>
      </c>
      <c r="C56" s="13">
        <v>1</v>
      </c>
      <c r="E56" s="8">
        <v>0.115078372920652</v>
      </c>
      <c r="F56" s="40">
        <v>85</v>
      </c>
      <c r="G56" s="12">
        <f>B617</f>
        <v>6254.85</v>
      </c>
      <c r="H56" s="44">
        <f t="shared" si="6"/>
        <v>1771481.2300000002</v>
      </c>
      <c r="I56" s="12">
        <f t="shared" si="1"/>
        <v>2300.6249740259741</v>
      </c>
      <c r="J56" s="8">
        <f t="shared" si="7"/>
        <v>2420.0614986983455</v>
      </c>
      <c r="K56" s="41">
        <f t="shared" si="2"/>
        <v>2314.4917349492721</v>
      </c>
      <c r="L56" s="8">
        <f t="shared" si="3"/>
        <v>2314.4917349492721</v>
      </c>
      <c r="M56" s="42">
        <f t="shared" si="4"/>
        <v>192.28705850390409</v>
      </c>
      <c r="AA56" s="8">
        <f t="shared" si="5"/>
        <v>55</v>
      </c>
      <c r="AB56" s="8">
        <v>26.092944249091499</v>
      </c>
    </row>
    <row r="57" spans="1:28" ht="16" x14ac:dyDescent="0.2">
      <c r="A57" s="10" t="s">
        <v>768</v>
      </c>
      <c r="B57" s="39">
        <v>199.84</v>
      </c>
      <c r="C57" s="13">
        <v>1</v>
      </c>
      <c r="E57" s="8">
        <v>0.115078372920652</v>
      </c>
      <c r="F57" s="40">
        <v>86</v>
      </c>
      <c r="G57" s="12">
        <f>SUM(B618:B619)</f>
        <v>8654.7799999999988</v>
      </c>
      <c r="H57" s="44">
        <f t="shared" si="6"/>
        <v>1780136.0100000002</v>
      </c>
      <c r="I57" s="12">
        <f t="shared" si="1"/>
        <v>2311.8649480519484</v>
      </c>
      <c r="J57" s="8">
        <f t="shared" si="7"/>
        <v>2446.154442947437</v>
      </c>
      <c r="K57" s="41">
        <f t="shared" si="2"/>
        <v>2315.0895476875407</v>
      </c>
      <c r="L57" s="8">
        <f t="shared" si="3"/>
        <v>2315.0895476875407</v>
      </c>
      <c r="M57" s="42">
        <f t="shared" si="4"/>
        <v>10.398042809862075</v>
      </c>
      <c r="AA57" s="8">
        <f t="shared" si="5"/>
        <v>56</v>
      </c>
      <c r="AB57" s="8">
        <v>26.092944249091499</v>
      </c>
    </row>
    <row r="58" spans="1:28" ht="48" x14ac:dyDescent="0.2">
      <c r="A58" s="10" t="s">
        <v>818</v>
      </c>
      <c r="B58" s="39">
        <v>199.84</v>
      </c>
      <c r="C58" s="13">
        <v>1</v>
      </c>
      <c r="E58" s="8">
        <v>0.115078372920652</v>
      </c>
      <c r="F58" s="40">
        <v>108</v>
      </c>
      <c r="G58" s="12">
        <f>SUM(B620:B621)</f>
        <v>13885.84</v>
      </c>
      <c r="H58" s="44">
        <f t="shared" si="6"/>
        <v>1794021.8500000003</v>
      </c>
      <c r="I58" s="12">
        <f t="shared" si="1"/>
        <v>2329.8985064935068</v>
      </c>
      <c r="J58" s="8">
        <f t="shared" si="7"/>
        <v>3020.1992164274502</v>
      </c>
      <c r="K58" s="41">
        <f t="shared" si="2"/>
        <v>2328.2414279294539</v>
      </c>
      <c r="L58" s="8">
        <f t="shared" si="3"/>
        <v>2328.2414279294539</v>
      </c>
      <c r="M58" s="42">
        <f t="shared" si="4"/>
        <v>2.7459093674435584</v>
      </c>
      <c r="AA58" s="8">
        <f t="shared" si="5"/>
        <v>57</v>
      </c>
      <c r="AB58" s="8">
        <v>26.092944249091499</v>
      </c>
    </row>
    <row r="59" spans="1:28" ht="32" x14ac:dyDescent="0.2">
      <c r="A59" s="10" t="s">
        <v>828</v>
      </c>
      <c r="B59" s="39">
        <v>125.28</v>
      </c>
      <c r="C59" s="13">
        <v>1</v>
      </c>
      <c r="E59" s="8">
        <v>0.115078372920652</v>
      </c>
      <c r="F59" s="40">
        <v>150</v>
      </c>
      <c r="G59" s="12">
        <f>SUM(B622:B629)</f>
        <v>51108.63</v>
      </c>
      <c r="H59" s="44">
        <f t="shared" si="6"/>
        <v>1845130.4800000002</v>
      </c>
      <c r="I59" s="12">
        <f t="shared" si="1"/>
        <v>2396.273350649351</v>
      </c>
      <c r="J59" s="8">
        <f t="shared" si="7"/>
        <v>4116.1028748892932</v>
      </c>
      <c r="K59" s="41">
        <f t="shared" si="2"/>
        <v>2353.3495629367421</v>
      </c>
      <c r="L59" s="8">
        <f t="shared" si="3"/>
        <v>2353.3495629367421</v>
      </c>
      <c r="M59" s="42">
        <f t="shared" si="4"/>
        <v>1842.4515515971086</v>
      </c>
      <c r="AA59" s="8">
        <f t="shared" si="5"/>
        <v>58</v>
      </c>
      <c r="AB59" s="8">
        <v>26.092944249091499</v>
      </c>
    </row>
    <row r="60" spans="1:28" ht="32" x14ac:dyDescent="0.2">
      <c r="A60" s="10" t="s">
        <v>829</v>
      </c>
      <c r="B60" s="39">
        <v>146.88</v>
      </c>
      <c r="C60" s="13">
        <v>1</v>
      </c>
      <c r="E60" s="8">
        <v>0.115078372920652</v>
      </c>
      <c r="F60" s="40">
        <v>300</v>
      </c>
      <c r="G60" s="12">
        <f>SUM(B630:B638)</f>
        <v>32643.420000000002</v>
      </c>
      <c r="H60" s="44">
        <f t="shared" si="6"/>
        <v>1877773.9000000001</v>
      </c>
      <c r="I60" s="12">
        <f t="shared" si="1"/>
        <v>2438.667402597403</v>
      </c>
      <c r="J60" s="8">
        <f t="shared" si="7"/>
        <v>8030.0445122530182</v>
      </c>
      <c r="K60" s="41">
        <f t="shared" si="2"/>
        <v>2443.0214736770586</v>
      </c>
      <c r="L60" s="8">
        <f t="shared" si="3"/>
        <v>2443.0214736770586</v>
      </c>
      <c r="M60" s="42">
        <f t="shared" si="4"/>
        <v>18.95793496669301</v>
      </c>
      <c r="AA60" s="8">
        <f t="shared" si="5"/>
        <v>59</v>
      </c>
      <c r="AB60" s="8">
        <v>26.092944249091499</v>
      </c>
    </row>
    <row r="61" spans="1:28" ht="17" thickBot="1" x14ac:dyDescent="0.25">
      <c r="A61" s="10" t="s">
        <v>836</v>
      </c>
      <c r="B61" s="39">
        <v>199.84</v>
      </c>
      <c r="C61" s="13">
        <v>1</v>
      </c>
      <c r="E61" s="8">
        <v>0.115078372920652</v>
      </c>
      <c r="F61" s="47">
        <v>750</v>
      </c>
      <c r="G61" s="48">
        <f>SUM(B639:B699)</f>
        <v>208237.44999999992</v>
      </c>
      <c r="H61" s="49">
        <f t="shared" si="6"/>
        <v>2086011.35</v>
      </c>
      <c r="I61" s="12">
        <f t="shared" si="1"/>
        <v>2709.1056493506494</v>
      </c>
      <c r="J61" s="50">
        <f t="shared" si="7"/>
        <v>19771.869424344193</v>
      </c>
      <c r="K61" s="51">
        <f t="shared" si="2"/>
        <v>2712.0372058980065</v>
      </c>
      <c r="L61" s="50">
        <f t="shared" si="3"/>
        <v>2712.0372058980065</v>
      </c>
      <c r="M61" s="42">
        <f t="shared" si="4"/>
        <v>8.5940237903523045</v>
      </c>
      <c r="AA61" s="8">
        <f t="shared" si="5"/>
        <v>60</v>
      </c>
      <c r="AB61" s="8">
        <v>26.092944249091499</v>
      </c>
    </row>
    <row r="62" spans="1:28" ht="32" x14ac:dyDescent="0.2">
      <c r="A62" s="10" t="s">
        <v>850</v>
      </c>
      <c r="B62" s="39">
        <v>356.46</v>
      </c>
      <c r="C62" s="13">
        <v>1</v>
      </c>
      <c r="AA62" s="8">
        <f t="shared" si="5"/>
        <v>61</v>
      </c>
      <c r="AB62" s="8">
        <v>26.092944249091499</v>
      </c>
    </row>
    <row r="63" spans="1:28" ht="16" x14ac:dyDescent="0.2">
      <c r="A63" s="10" t="s">
        <v>851</v>
      </c>
      <c r="B63" s="39">
        <v>425.52</v>
      </c>
      <c r="C63" s="13">
        <v>1</v>
      </c>
      <c r="AA63" s="8">
        <f t="shared" si="5"/>
        <v>62</v>
      </c>
      <c r="AB63" s="8">
        <v>26.092944249091499</v>
      </c>
    </row>
    <row r="64" spans="1:28" ht="32" x14ac:dyDescent="0.2">
      <c r="A64" s="10" t="s">
        <v>852</v>
      </c>
      <c r="B64" s="39">
        <v>639.36</v>
      </c>
      <c r="C64" s="13">
        <v>1</v>
      </c>
      <c r="AA64" s="8">
        <f t="shared" si="5"/>
        <v>63</v>
      </c>
      <c r="AB64" s="8">
        <v>26.092944249091499</v>
      </c>
    </row>
    <row r="65" spans="1:28" ht="16" x14ac:dyDescent="0.2">
      <c r="A65" s="31" t="s">
        <v>893</v>
      </c>
      <c r="B65" s="39">
        <v>4200</v>
      </c>
      <c r="C65" s="23">
        <v>1</v>
      </c>
      <c r="AA65" s="8">
        <f t="shared" si="5"/>
        <v>64</v>
      </c>
      <c r="AB65" s="8">
        <v>26.092944249091499</v>
      </c>
    </row>
    <row r="66" spans="1:28" ht="16" x14ac:dyDescent="0.2">
      <c r="A66" s="31" t="s">
        <v>894</v>
      </c>
      <c r="B66" s="39">
        <v>10200</v>
      </c>
      <c r="C66" s="23">
        <v>1</v>
      </c>
      <c r="AA66" s="8">
        <f t="shared" si="5"/>
        <v>65</v>
      </c>
      <c r="AB66" s="8">
        <v>26.092944249091499</v>
      </c>
    </row>
    <row r="67" spans="1:28" ht="29" x14ac:dyDescent="0.2">
      <c r="A67" s="17" t="s">
        <v>869</v>
      </c>
      <c r="B67" s="39">
        <v>140</v>
      </c>
      <c r="C67" s="13">
        <v>2</v>
      </c>
      <c r="AA67" s="8">
        <f t="shared" si="5"/>
        <v>66</v>
      </c>
      <c r="AB67" s="8">
        <v>26.092944249091499</v>
      </c>
    </row>
    <row r="68" spans="1:28" x14ac:dyDescent="0.2">
      <c r="A68" s="17" t="s">
        <v>879</v>
      </c>
      <c r="B68" s="39">
        <v>150</v>
      </c>
      <c r="C68" s="23">
        <v>4</v>
      </c>
      <c r="AA68" s="8">
        <f t="shared" ref="AA68:AA131" si="8">AA67+1</f>
        <v>67</v>
      </c>
      <c r="AB68" s="8">
        <v>26.092944249091499</v>
      </c>
    </row>
    <row r="69" spans="1:28" x14ac:dyDescent="0.2">
      <c r="A69" s="17" t="s">
        <v>880</v>
      </c>
      <c r="B69" s="39">
        <v>100</v>
      </c>
      <c r="C69" s="23">
        <v>4.4000000000000004</v>
      </c>
      <c r="AA69" s="8">
        <f t="shared" si="8"/>
        <v>68</v>
      </c>
      <c r="AB69" s="8">
        <v>26.092944249091499</v>
      </c>
    </row>
    <row r="70" spans="1:28" ht="29" x14ac:dyDescent="0.2">
      <c r="A70" s="17" t="s">
        <v>866</v>
      </c>
      <c r="B70" s="39">
        <v>200</v>
      </c>
      <c r="C70" s="13">
        <v>5</v>
      </c>
      <c r="AA70" s="8">
        <f t="shared" si="8"/>
        <v>69</v>
      </c>
      <c r="AB70" s="8">
        <v>26.092944249091499</v>
      </c>
    </row>
    <row r="71" spans="1:28" x14ac:dyDescent="0.2">
      <c r="A71" s="30" t="s">
        <v>890</v>
      </c>
      <c r="B71" s="39">
        <v>500</v>
      </c>
      <c r="C71" s="23">
        <v>5</v>
      </c>
      <c r="AA71" s="8">
        <f t="shared" si="8"/>
        <v>70</v>
      </c>
      <c r="AB71" s="8">
        <v>26.092944249091499</v>
      </c>
    </row>
    <row r="72" spans="1:28" x14ac:dyDescent="0.2">
      <c r="A72" s="26" t="s">
        <v>883</v>
      </c>
      <c r="B72" s="39">
        <v>200</v>
      </c>
      <c r="C72" s="23">
        <v>5.5</v>
      </c>
      <c r="AA72" s="8">
        <f t="shared" si="8"/>
        <v>71</v>
      </c>
      <c r="AB72" s="8">
        <v>26.092944249091499</v>
      </c>
    </row>
    <row r="73" spans="1:28" ht="64" x14ac:dyDescent="0.2">
      <c r="A73" s="10" t="s">
        <v>292</v>
      </c>
      <c r="B73" s="39">
        <v>2362.5</v>
      </c>
      <c r="C73" s="13">
        <v>6</v>
      </c>
      <c r="AA73" s="8">
        <f t="shared" si="8"/>
        <v>72</v>
      </c>
      <c r="AB73" s="8">
        <v>26.092944249091499</v>
      </c>
    </row>
    <row r="74" spans="1:28" ht="64" x14ac:dyDescent="0.2">
      <c r="A74" s="10" t="s">
        <v>325</v>
      </c>
      <c r="B74" s="39">
        <v>75</v>
      </c>
      <c r="C74" s="13">
        <v>6</v>
      </c>
      <c r="AA74" s="8">
        <f t="shared" si="8"/>
        <v>73</v>
      </c>
      <c r="AB74" s="8">
        <v>26.092944249091499</v>
      </c>
    </row>
    <row r="75" spans="1:28" ht="32" x14ac:dyDescent="0.2">
      <c r="A75" s="10" t="s">
        <v>525</v>
      </c>
      <c r="B75" s="39">
        <v>267.64999999999998</v>
      </c>
      <c r="C75" s="13">
        <v>6</v>
      </c>
      <c r="AA75" s="8">
        <f t="shared" si="8"/>
        <v>74</v>
      </c>
      <c r="AB75" s="8">
        <v>26.092944249091499</v>
      </c>
    </row>
    <row r="76" spans="1:28" ht="32" x14ac:dyDescent="0.2">
      <c r="A76" s="10" t="s">
        <v>526</v>
      </c>
      <c r="B76" s="39">
        <v>304.75</v>
      </c>
      <c r="C76" s="13">
        <v>6</v>
      </c>
      <c r="AA76" s="8">
        <f t="shared" si="8"/>
        <v>75</v>
      </c>
      <c r="AB76" s="8">
        <v>26.092944249091499</v>
      </c>
    </row>
    <row r="77" spans="1:28" ht="32" x14ac:dyDescent="0.2">
      <c r="A77" s="10" t="s">
        <v>527</v>
      </c>
      <c r="B77" s="39">
        <v>461.1</v>
      </c>
      <c r="C77" s="13">
        <v>6</v>
      </c>
      <c r="AA77" s="8">
        <f t="shared" si="8"/>
        <v>76</v>
      </c>
      <c r="AB77" s="8">
        <v>26.092944249091499</v>
      </c>
    </row>
    <row r="78" spans="1:28" ht="32" x14ac:dyDescent="0.2">
      <c r="A78" s="10" t="s">
        <v>528</v>
      </c>
      <c r="B78" s="39">
        <v>140.44999999999999</v>
      </c>
      <c r="C78" s="13">
        <v>6</v>
      </c>
      <c r="AA78" s="8">
        <f t="shared" si="8"/>
        <v>77</v>
      </c>
      <c r="AB78" s="8">
        <v>26.092944249091499</v>
      </c>
    </row>
    <row r="79" spans="1:28" ht="16" x14ac:dyDescent="0.2">
      <c r="A79" s="10" t="s">
        <v>581</v>
      </c>
      <c r="B79" s="39">
        <v>324.39999999999998</v>
      </c>
      <c r="C79" s="13">
        <v>7</v>
      </c>
      <c r="AA79" s="8">
        <f t="shared" si="8"/>
        <v>78</v>
      </c>
      <c r="AB79" s="8">
        <v>26.092944249091499</v>
      </c>
    </row>
    <row r="80" spans="1:28" ht="48" x14ac:dyDescent="0.2">
      <c r="A80" s="10" t="s">
        <v>616</v>
      </c>
      <c r="B80" s="39">
        <v>3380.15</v>
      </c>
      <c r="C80" s="13">
        <v>7</v>
      </c>
      <c r="AA80" s="8">
        <f t="shared" si="8"/>
        <v>79</v>
      </c>
      <c r="AB80" s="8">
        <v>26.092944249091499</v>
      </c>
    </row>
    <row r="81" spans="1:28" ht="48" x14ac:dyDescent="0.2">
      <c r="A81" s="10" t="s">
        <v>617</v>
      </c>
      <c r="B81" s="39">
        <v>1109</v>
      </c>
      <c r="C81" s="13">
        <v>7</v>
      </c>
      <c r="AA81" s="8">
        <f t="shared" si="8"/>
        <v>80</v>
      </c>
      <c r="AB81" s="8">
        <v>26.092944249091499</v>
      </c>
    </row>
    <row r="82" spans="1:28" ht="48" x14ac:dyDescent="0.2">
      <c r="A82" s="10" t="s">
        <v>616</v>
      </c>
      <c r="B82" s="39">
        <v>448.05</v>
      </c>
      <c r="C82" s="13">
        <v>7</v>
      </c>
      <c r="AA82" s="8">
        <f t="shared" si="8"/>
        <v>81</v>
      </c>
      <c r="AB82" s="8">
        <v>0.59781273826877401</v>
      </c>
    </row>
    <row r="83" spans="1:28" ht="32" x14ac:dyDescent="0.2">
      <c r="A83" s="10" t="s">
        <v>618</v>
      </c>
      <c r="B83" s="39">
        <v>600</v>
      </c>
      <c r="C83" s="13">
        <v>7</v>
      </c>
      <c r="AA83" s="8">
        <f t="shared" si="8"/>
        <v>82</v>
      </c>
      <c r="AB83" s="8">
        <v>0.59781273826877401</v>
      </c>
    </row>
    <row r="84" spans="1:28" ht="32" x14ac:dyDescent="0.2">
      <c r="A84" s="10" t="s">
        <v>619</v>
      </c>
      <c r="B84" s="39">
        <v>2112</v>
      </c>
      <c r="C84" s="13">
        <v>7</v>
      </c>
      <c r="AA84" s="8">
        <f t="shared" si="8"/>
        <v>83</v>
      </c>
      <c r="AB84" s="8">
        <v>0.59781273826877401</v>
      </c>
    </row>
    <row r="85" spans="1:28" ht="16" x14ac:dyDescent="0.2">
      <c r="A85" s="10" t="s">
        <v>622</v>
      </c>
      <c r="B85" s="39">
        <v>650</v>
      </c>
      <c r="C85" s="13">
        <v>7</v>
      </c>
      <c r="AA85" s="8">
        <f t="shared" si="8"/>
        <v>84</v>
      </c>
      <c r="AB85" s="8">
        <v>0.59781273826877401</v>
      </c>
    </row>
    <row r="86" spans="1:28" x14ac:dyDescent="0.2">
      <c r="A86" s="27" t="s">
        <v>886</v>
      </c>
      <c r="B86" s="39">
        <v>3000</v>
      </c>
      <c r="C86" s="29">
        <v>7</v>
      </c>
      <c r="AA86" s="8">
        <f t="shared" si="8"/>
        <v>85</v>
      </c>
      <c r="AB86" s="8">
        <v>0.59781273826877401</v>
      </c>
    </row>
    <row r="87" spans="1:28" x14ac:dyDescent="0.2">
      <c r="A87" s="26" t="s">
        <v>884</v>
      </c>
      <c r="B87" s="39">
        <v>2500</v>
      </c>
      <c r="C87" s="23">
        <v>7.5</v>
      </c>
      <c r="AA87" s="8">
        <f t="shared" si="8"/>
        <v>86</v>
      </c>
      <c r="AB87" s="8">
        <v>0.59781273826877401</v>
      </c>
    </row>
    <row r="88" spans="1:28" x14ac:dyDescent="0.2">
      <c r="A88" s="30" t="s">
        <v>891</v>
      </c>
      <c r="B88" s="39">
        <v>500</v>
      </c>
      <c r="C88" s="23">
        <v>7.5</v>
      </c>
      <c r="AA88" s="8">
        <f t="shared" si="8"/>
        <v>87</v>
      </c>
      <c r="AB88" s="8">
        <v>0.59781273826877401</v>
      </c>
    </row>
    <row r="89" spans="1:28" ht="32" x14ac:dyDescent="0.2">
      <c r="A89" s="10" t="s">
        <v>557</v>
      </c>
      <c r="B89" s="39">
        <v>15046.65</v>
      </c>
      <c r="C89" s="13">
        <v>8</v>
      </c>
      <c r="AA89" s="8">
        <f t="shared" si="8"/>
        <v>88</v>
      </c>
      <c r="AB89" s="8">
        <v>0.59781273826877401</v>
      </c>
    </row>
    <row r="90" spans="1:28" ht="32" x14ac:dyDescent="0.2">
      <c r="A90" s="10" t="s">
        <v>557</v>
      </c>
      <c r="B90" s="39">
        <v>1231.05</v>
      </c>
      <c r="C90" s="13">
        <v>8</v>
      </c>
      <c r="AA90" s="8">
        <f t="shared" si="8"/>
        <v>89</v>
      </c>
      <c r="AB90" s="8">
        <v>0.59781273826877401</v>
      </c>
    </row>
    <row r="91" spans="1:28" ht="32" x14ac:dyDescent="0.2">
      <c r="A91" s="10" t="s">
        <v>75</v>
      </c>
      <c r="B91" s="39">
        <v>216</v>
      </c>
      <c r="C91" s="13">
        <v>8</v>
      </c>
      <c r="AA91" s="8">
        <f t="shared" si="8"/>
        <v>90</v>
      </c>
      <c r="AB91" s="8">
        <v>0.59781273826877401</v>
      </c>
    </row>
    <row r="92" spans="1:28" x14ac:dyDescent="0.2">
      <c r="A92" s="17" t="s">
        <v>881</v>
      </c>
      <c r="B92" s="39">
        <v>400</v>
      </c>
      <c r="C92" s="23">
        <v>8</v>
      </c>
      <c r="AA92" s="8">
        <f t="shared" si="8"/>
        <v>91</v>
      </c>
      <c r="AB92" s="8">
        <v>0.59781273826877401</v>
      </c>
    </row>
    <row r="93" spans="1:28" ht="64" x14ac:dyDescent="0.2">
      <c r="A93" s="10" t="s">
        <v>285</v>
      </c>
      <c r="B93" s="39">
        <v>2591.6999999999998</v>
      </c>
      <c r="C93" s="13">
        <v>10</v>
      </c>
      <c r="AA93" s="8">
        <f t="shared" si="8"/>
        <v>92</v>
      </c>
      <c r="AB93" s="8">
        <v>0.59781273826877401</v>
      </c>
    </row>
    <row r="94" spans="1:28" ht="64" x14ac:dyDescent="0.2">
      <c r="A94" s="10" t="s">
        <v>286</v>
      </c>
      <c r="B94" s="39">
        <v>549</v>
      </c>
      <c r="C94" s="13">
        <v>10</v>
      </c>
      <c r="AA94" s="8">
        <f t="shared" si="8"/>
        <v>93</v>
      </c>
      <c r="AB94" s="8">
        <v>0.59781273826877401</v>
      </c>
    </row>
    <row r="95" spans="1:28" ht="80" x14ac:dyDescent="0.2">
      <c r="A95" s="10" t="s">
        <v>287</v>
      </c>
      <c r="B95" s="39">
        <v>3458.7</v>
      </c>
      <c r="C95" s="13">
        <v>10</v>
      </c>
      <c r="AA95" s="8">
        <f t="shared" si="8"/>
        <v>94</v>
      </c>
      <c r="AB95" s="8">
        <v>0.59781273826877401</v>
      </c>
    </row>
    <row r="96" spans="1:28" ht="64" x14ac:dyDescent="0.2">
      <c r="A96" s="10" t="s">
        <v>711</v>
      </c>
      <c r="B96" s="39">
        <v>324.05</v>
      </c>
      <c r="C96" s="13">
        <v>10</v>
      </c>
      <c r="AA96" s="8">
        <f t="shared" si="8"/>
        <v>95</v>
      </c>
      <c r="AB96" s="8">
        <v>0.59781273826877401</v>
      </c>
    </row>
    <row r="97" spans="1:28" x14ac:dyDescent="0.2">
      <c r="A97" s="17" t="s">
        <v>867</v>
      </c>
      <c r="B97" s="39">
        <v>5000</v>
      </c>
      <c r="C97" s="13">
        <v>10</v>
      </c>
      <c r="AA97" s="8">
        <f t="shared" si="8"/>
        <v>96</v>
      </c>
      <c r="AB97" s="8">
        <v>0.59781273826877401</v>
      </c>
    </row>
    <row r="98" spans="1:28" x14ac:dyDescent="0.2">
      <c r="A98" s="21" t="s">
        <v>872</v>
      </c>
      <c r="B98" s="39">
        <v>500</v>
      </c>
      <c r="C98" s="13">
        <v>10</v>
      </c>
      <c r="AA98" s="8">
        <f t="shared" si="8"/>
        <v>97</v>
      </c>
      <c r="AB98" s="8">
        <v>0.59781273826877401</v>
      </c>
    </row>
    <row r="99" spans="1:28" x14ac:dyDescent="0.2">
      <c r="A99" s="22" t="s">
        <v>875</v>
      </c>
      <c r="B99" s="39">
        <v>1600</v>
      </c>
      <c r="C99" s="13">
        <v>10</v>
      </c>
      <c r="AA99" s="8">
        <f t="shared" si="8"/>
        <v>98</v>
      </c>
      <c r="AB99" s="8">
        <v>0.59781273826877401</v>
      </c>
    </row>
    <row r="100" spans="1:28" x14ac:dyDescent="0.2">
      <c r="A100" s="26" t="s">
        <v>885</v>
      </c>
      <c r="B100" s="39">
        <v>4000</v>
      </c>
      <c r="C100" s="23">
        <v>10</v>
      </c>
      <c r="AA100" s="8">
        <f t="shared" si="8"/>
        <v>99</v>
      </c>
      <c r="AB100" s="8">
        <v>0.59781273826877401</v>
      </c>
    </row>
    <row r="101" spans="1:28" x14ac:dyDescent="0.2">
      <c r="A101" s="30" t="s">
        <v>888</v>
      </c>
      <c r="B101" s="39">
        <v>3000</v>
      </c>
      <c r="C101" s="23">
        <v>10</v>
      </c>
      <c r="AA101" s="8">
        <f t="shared" si="8"/>
        <v>100</v>
      </c>
      <c r="AB101" s="8">
        <v>0.59781273826877401</v>
      </c>
    </row>
    <row r="102" spans="1:28" x14ac:dyDescent="0.2">
      <c r="A102" s="30" t="s">
        <v>892</v>
      </c>
      <c r="B102" s="39">
        <v>4000</v>
      </c>
      <c r="C102" s="23">
        <v>10</v>
      </c>
      <c r="AA102" s="8">
        <f t="shared" si="8"/>
        <v>101</v>
      </c>
      <c r="AB102" s="8">
        <v>0.59781273826877401</v>
      </c>
    </row>
    <row r="103" spans="1:28" ht="48" x14ac:dyDescent="0.2">
      <c r="A103" s="10" t="s">
        <v>574</v>
      </c>
      <c r="B103" s="39">
        <v>1439.04</v>
      </c>
      <c r="C103" s="13">
        <v>11</v>
      </c>
      <c r="AA103" s="8">
        <f t="shared" si="8"/>
        <v>102</v>
      </c>
      <c r="AB103" s="8">
        <v>0.59781273826877401</v>
      </c>
    </row>
    <row r="104" spans="1:28" ht="48" x14ac:dyDescent="0.2">
      <c r="A104" s="10" t="s">
        <v>575</v>
      </c>
      <c r="B104" s="39">
        <v>1184.21</v>
      </c>
      <c r="C104" s="13">
        <v>11</v>
      </c>
      <c r="AA104" s="8">
        <f t="shared" si="8"/>
        <v>103</v>
      </c>
      <c r="AB104" s="8">
        <v>0.59781273826877401</v>
      </c>
    </row>
    <row r="105" spans="1:28" ht="48" x14ac:dyDescent="0.2">
      <c r="A105" s="10" t="s">
        <v>576</v>
      </c>
      <c r="B105" s="39">
        <v>39.979999999999997</v>
      </c>
      <c r="C105" s="13">
        <v>11</v>
      </c>
      <c r="AA105" s="8">
        <f t="shared" si="8"/>
        <v>104</v>
      </c>
      <c r="AB105" s="8">
        <v>0.59781273826877401</v>
      </c>
    </row>
    <row r="106" spans="1:28" ht="16" x14ac:dyDescent="0.2">
      <c r="A106" s="10" t="s">
        <v>577</v>
      </c>
      <c r="B106" s="39">
        <v>1819.09</v>
      </c>
      <c r="C106" s="13">
        <v>11</v>
      </c>
      <c r="AA106" s="8">
        <f t="shared" si="8"/>
        <v>105</v>
      </c>
      <c r="AB106" s="8">
        <v>0.59781273826877401</v>
      </c>
    </row>
    <row r="107" spans="1:28" ht="16" x14ac:dyDescent="0.2">
      <c r="A107" s="10" t="s">
        <v>578</v>
      </c>
      <c r="B107" s="39">
        <v>179.94</v>
      </c>
      <c r="C107" s="13">
        <v>11</v>
      </c>
      <c r="AA107" s="8">
        <f t="shared" si="8"/>
        <v>106</v>
      </c>
      <c r="AB107" s="8">
        <v>0.59781273826877401</v>
      </c>
    </row>
    <row r="108" spans="1:28" x14ac:dyDescent="0.2">
      <c r="A108" s="25" t="s">
        <v>882</v>
      </c>
      <c r="B108" s="39">
        <v>1000</v>
      </c>
      <c r="C108" s="23">
        <v>12.5</v>
      </c>
      <c r="AA108" s="8">
        <f t="shared" si="8"/>
        <v>107</v>
      </c>
      <c r="AB108" s="8">
        <v>0.59781273826877401</v>
      </c>
    </row>
    <row r="109" spans="1:28" ht="32" x14ac:dyDescent="0.2">
      <c r="A109" s="10" t="s">
        <v>573</v>
      </c>
      <c r="B109" s="39">
        <v>34582.1</v>
      </c>
      <c r="C109" s="13">
        <v>13</v>
      </c>
      <c r="AA109" s="8">
        <f t="shared" si="8"/>
        <v>108</v>
      </c>
      <c r="AB109" s="8">
        <v>0.59781273826877401</v>
      </c>
    </row>
    <row r="110" spans="1:28" x14ac:dyDescent="0.2">
      <c r="A110" s="17" t="s">
        <v>870</v>
      </c>
      <c r="B110" s="39">
        <v>400</v>
      </c>
      <c r="C110" s="13">
        <v>13</v>
      </c>
      <c r="AA110" s="8">
        <f t="shared" si="8"/>
        <v>109</v>
      </c>
      <c r="AB110" s="8">
        <v>0.59781273826877401</v>
      </c>
    </row>
    <row r="111" spans="1:28" x14ac:dyDescent="0.2">
      <c r="A111" s="17" t="s">
        <v>878</v>
      </c>
      <c r="B111" s="39">
        <v>500</v>
      </c>
      <c r="C111" s="23">
        <v>14</v>
      </c>
      <c r="AA111" s="8">
        <f t="shared" si="8"/>
        <v>110</v>
      </c>
      <c r="AB111" s="8">
        <v>0.59781273826877401</v>
      </c>
    </row>
    <row r="112" spans="1:28" ht="32" x14ac:dyDescent="0.2">
      <c r="A112" s="10" t="s">
        <v>541</v>
      </c>
      <c r="B112" s="39">
        <v>126.25</v>
      </c>
      <c r="C112" s="13">
        <v>15</v>
      </c>
      <c r="AA112" s="8">
        <f t="shared" si="8"/>
        <v>111</v>
      </c>
      <c r="AB112" s="8">
        <v>0.59781273826877401</v>
      </c>
    </row>
    <row r="113" spans="1:28" ht="32" x14ac:dyDescent="0.2">
      <c r="A113" s="10" t="s">
        <v>542</v>
      </c>
      <c r="B113" s="39">
        <v>143.75</v>
      </c>
      <c r="C113" s="13">
        <v>15</v>
      </c>
      <c r="AA113" s="8">
        <f t="shared" si="8"/>
        <v>112</v>
      </c>
      <c r="AB113" s="8">
        <v>0.59781273826877401</v>
      </c>
    </row>
    <row r="114" spans="1:28" ht="48" x14ac:dyDescent="0.2">
      <c r="A114" s="10" t="s">
        <v>543</v>
      </c>
      <c r="B114" s="39">
        <v>346.26</v>
      </c>
      <c r="C114" s="13">
        <v>15</v>
      </c>
      <c r="AA114" s="8">
        <f t="shared" si="8"/>
        <v>113</v>
      </c>
      <c r="AB114" s="8">
        <v>0.59781273826877401</v>
      </c>
    </row>
    <row r="115" spans="1:28" ht="32" x14ac:dyDescent="0.2">
      <c r="A115" s="10" t="s">
        <v>544</v>
      </c>
      <c r="B115" s="39">
        <v>66.25</v>
      </c>
      <c r="C115" s="13">
        <v>15</v>
      </c>
      <c r="AA115" s="8">
        <f t="shared" si="8"/>
        <v>114</v>
      </c>
      <c r="AB115" s="8">
        <v>0.59781273826877401</v>
      </c>
    </row>
    <row r="116" spans="1:28" ht="32" x14ac:dyDescent="0.2">
      <c r="A116" s="10" t="s">
        <v>586</v>
      </c>
      <c r="B116" s="39">
        <v>381.25</v>
      </c>
      <c r="C116" s="13">
        <v>15</v>
      </c>
      <c r="AA116" s="8">
        <f t="shared" si="8"/>
        <v>115</v>
      </c>
      <c r="AB116" s="8">
        <v>0.59781273826877401</v>
      </c>
    </row>
    <row r="117" spans="1:28" ht="32" x14ac:dyDescent="0.2">
      <c r="A117" s="10" t="s">
        <v>586</v>
      </c>
      <c r="B117" s="39">
        <v>1178.75</v>
      </c>
      <c r="C117" s="13">
        <v>15</v>
      </c>
      <c r="AA117" s="8">
        <f t="shared" si="8"/>
        <v>116</v>
      </c>
      <c r="AB117" s="8">
        <v>0.59781273826877401</v>
      </c>
    </row>
    <row r="118" spans="1:28" ht="16" x14ac:dyDescent="0.2">
      <c r="A118" s="10" t="s">
        <v>621</v>
      </c>
      <c r="B118" s="39">
        <v>650</v>
      </c>
      <c r="C118" s="13">
        <v>15</v>
      </c>
      <c r="AA118" s="8">
        <f t="shared" si="8"/>
        <v>117</v>
      </c>
      <c r="AB118" s="8">
        <v>0.59781273826877401</v>
      </c>
    </row>
    <row r="119" spans="1:28" ht="32" x14ac:dyDescent="0.2">
      <c r="A119" s="10" t="s">
        <v>731</v>
      </c>
      <c r="B119" s="39">
        <v>662.04</v>
      </c>
      <c r="C119" s="13">
        <v>15</v>
      </c>
      <c r="AA119" s="8">
        <f t="shared" si="8"/>
        <v>118</v>
      </c>
      <c r="AB119" s="8">
        <v>0.59781273826877401</v>
      </c>
    </row>
    <row r="120" spans="1:28" x14ac:dyDescent="0.2">
      <c r="A120" s="17" t="s">
        <v>861</v>
      </c>
      <c r="B120" s="39">
        <v>1500</v>
      </c>
      <c r="C120" s="13">
        <v>15</v>
      </c>
      <c r="AA120" s="8">
        <f t="shared" si="8"/>
        <v>119</v>
      </c>
      <c r="AB120" s="8">
        <v>0.59781273826877401</v>
      </c>
    </row>
    <row r="121" spans="1:28" x14ac:dyDescent="0.2">
      <c r="A121" s="17" t="s">
        <v>864</v>
      </c>
      <c r="B121" s="39">
        <v>200</v>
      </c>
      <c r="C121" s="13">
        <v>15</v>
      </c>
      <c r="AA121" s="8">
        <f t="shared" si="8"/>
        <v>120</v>
      </c>
      <c r="AB121" s="8">
        <v>0.59781273826877401</v>
      </c>
    </row>
    <row r="122" spans="1:28" x14ac:dyDescent="0.2">
      <c r="A122" s="21" t="s">
        <v>871</v>
      </c>
      <c r="B122" s="39">
        <v>1000</v>
      </c>
      <c r="C122" s="13">
        <v>15</v>
      </c>
      <c r="AA122" s="8">
        <f t="shared" si="8"/>
        <v>121</v>
      </c>
      <c r="AB122" s="8">
        <v>0.59781273826877401</v>
      </c>
    </row>
    <row r="123" spans="1:28" x14ac:dyDescent="0.2">
      <c r="A123" s="17" t="s">
        <v>876</v>
      </c>
      <c r="B123" s="39">
        <v>1200</v>
      </c>
      <c r="C123" s="23">
        <v>15</v>
      </c>
      <c r="AA123" s="8">
        <f t="shared" si="8"/>
        <v>122</v>
      </c>
      <c r="AB123" s="8">
        <v>0.59781273826877401</v>
      </c>
    </row>
    <row r="124" spans="1:28" x14ac:dyDescent="0.2">
      <c r="A124" s="30" t="s">
        <v>887</v>
      </c>
      <c r="B124" s="39">
        <v>1000</v>
      </c>
      <c r="C124" s="23">
        <v>15</v>
      </c>
      <c r="AA124" s="8">
        <f t="shared" si="8"/>
        <v>123</v>
      </c>
      <c r="AB124" s="8">
        <v>0.59781273826877401</v>
      </c>
    </row>
    <row r="125" spans="1:28" ht="32" x14ac:dyDescent="0.2">
      <c r="A125" s="10" t="s">
        <v>533</v>
      </c>
      <c r="B125" s="39">
        <v>737.1</v>
      </c>
      <c r="C125" s="13">
        <v>17</v>
      </c>
      <c r="AA125" s="8">
        <f t="shared" si="8"/>
        <v>124</v>
      </c>
      <c r="AB125" s="8">
        <v>0.59781273826877401</v>
      </c>
    </row>
    <row r="126" spans="1:28" ht="32" x14ac:dyDescent="0.2">
      <c r="A126" s="10" t="s">
        <v>534</v>
      </c>
      <c r="B126" s="39">
        <v>70</v>
      </c>
      <c r="C126" s="13">
        <v>17</v>
      </c>
      <c r="AA126" s="8">
        <f t="shared" si="8"/>
        <v>125</v>
      </c>
      <c r="AB126" s="8">
        <v>0.59781273826877401</v>
      </c>
    </row>
    <row r="127" spans="1:28" ht="32" x14ac:dyDescent="0.2">
      <c r="A127" s="10" t="s">
        <v>535</v>
      </c>
      <c r="B127" s="39">
        <v>879.6</v>
      </c>
      <c r="C127" s="13">
        <v>17</v>
      </c>
      <c r="AA127" s="8">
        <f t="shared" si="8"/>
        <v>126</v>
      </c>
      <c r="AB127" s="8">
        <v>0.59781273826877401</v>
      </c>
    </row>
    <row r="128" spans="1:28" ht="32" x14ac:dyDescent="0.2">
      <c r="A128" s="10" t="s">
        <v>536</v>
      </c>
      <c r="B128" s="39">
        <v>70</v>
      </c>
      <c r="C128" s="13">
        <v>17</v>
      </c>
      <c r="AA128" s="8">
        <f t="shared" si="8"/>
        <v>127</v>
      </c>
      <c r="AB128" s="8">
        <v>0.59781273826877401</v>
      </c>
    </row>
    <row r="129" spans="1:28" ht="32" x14ac:dyDescent="0.2">
      <c r="A129" s="10" t="s">
        <v>537</v>
      </c>
      <c r="B129" s="39">
        <v>1240.3800000000001</v>
      </c>
      <c r="C129" s="13">
        <v>17</v>
      </c>
      <c r="AA129" s="8">
        <f t="shared" si="8"/>
        <v>128</v>
      </c>
      <c r="AB129" s="8">
        <v>0.59781273826877401</v>
      </c>
    </row>
    <row r="130" spans="1:28" ht="32" x14ac:dyDescent="0.2">
      <c r="A130" s="10" t="s">
        <v>538</v>
      </c>
      <c r="B130" s="39">
        <v>630</v>
      </c>
      <c r="C130" s="13">
        <v>17</v>
      </c>
      <c r="AA130" s="8">
        <f t="shared" si="8"/>
        <v>129</v>
      </c>
      <c r="AB130" s="8">
        <v>0.59781273826877401</v>
      </c>
    </row>
    <row r="131" spans="1:28" ht="32" x14ac:dyDescent="0.2">
      <c r="A131" s="10" t="s">
        <v>539</v>
      </c>
      <c r="B131" s="39">
        <v>383.88</v>
      </c>
      <c r="C131" s="13">
        <v>17</v>
      </c>
      <c r="AA131" s="8">
        <f t="shared" si="8"/>
        <v>130</v>
      </c>
      <c r="AB131" s="8">
        <v>0.59781273826877401</v>
      </c>
    </row>
    <row r="132" spans="1:28" ht="32" x14ac:dyDescent="0.2">
      <c r="A132" s="10" t="s">
        <v>540</v>
      </c>
      <c r="B132" s="39">
        <v>140</v>
      </c>
      <c r="C132" s="13">
        <v>17</v>
      </c>
      <c r="AA132" s="8">
        <f t="shared" ref="AA132:AA195" si="9">AA131+1</f>
        <v>131</v>
      </c>
      <c r="AB132" s="8">
        <v>0.59781273826877401</v>
      </c>
    </row>
    <row r="133" spans="1:28" ht="32" x14ac:dyDescent="0.2">
      <c r="A133" s="10" t="s">
        <v>533</v>
      </c>
      <c r="B133" s="39">
        <v>203</v>
      </c>
      <c r="C133" s="13">
        <v>17</v>
      </c>
      <c r="AA133" s="8">
        <f t="shared" si="9"/>
        <v>132</v>
      </c>
      <c r="AB133" s="8">
        <v>0.59781273826877401</v>
      </c>
    </row>
    <row r="134" spans="1:28" ht="32" x14ac:dyDescent="0.2">
      <c r="A134" s="10" t="s">
        <v>535</v>
      </c>
      <c r="B134" s="39">
        <v>232</v>
      </c>
      <c r="C134" s="13">
        <v>17</v>
      </c>
      <c r="AA134" s="8">
        <f t="shared" si="9"/>
        <v>133</v>
      </c>
      <c r="AB134" s="8">
        <v>0.59781273826877401</v>
      </c>
    </row>
    <row r="135" spans="1:28" ht="32" x14ac:dyDescent="0.2">
      <c r="A135" s="10" t="s">
        <v>537</v>
      </c>
      <c r="B135" s="39">
        <v>319</v>
      </c>
      <c r="C135" s="13">
        <v>17</v>
      </c>
      <c r="AA135" s="8">
        <f t="shared" si="9"/>
        <v>134</v>
      </c>
      <c r="AB135" s="8">
        <v>0.59781273826877401</v>
      </c>
    </row>
    <row r="136" spans="1:28" ht="32" x14ac:dyDescent="0.2">
      <c r="A136" s="10" t="s">
        <v>539</v>
      </c>
      <c r="B136" s="39">
        <v>87</v>
      </c>
      <c r="C136" s="13">
        <v>17</v>
      </c>
      <c r="AA136" s="8">
        <f t="shared" si="9"/>
        <v>135</v>
      </c>
      <c r="AB136" s="8">
        <v>0.59781273826877401</v>
      </c>
    </row>
    <row r="137" spans="1:28" x14ac:dyDescent="0.2">
      <c r="A137" s="17" t="s">
        <v>877</v>
      </c>
      <c r="B137" s="39">
        <v>700</v>
      </c>
      <c r="C137" s="23">
        <v>17</v>
      </c>
      <c r="AA137" s="8">
        <f t="shared" si="9"/>
        <v>136</v>
      </c>
      <c r="AB137" s="8">
        <v>0.59781273826877401</v>
      </c>
    </row>
    <row r="138" spans="1:28" ht="64" x14ac:dyDescent="0.2">
      <c r="A138" s="10" t="s">
        <v>220</v>
      </c>
      <c r="B138" s="39">
        <v>81</v>
      </c>
      <c r="C138" s="13">
        <v>18</v>
      </c>
      <c r="AA138" s="8">
        <f t="shared" si="9"/>
        <v>137</v>
      </c>
      <c r="AB138" s="8">
        <v>0.59781273826877401</v>
      </c>
    </row>
    <row r="139" spans="1:28" ht="16" x14ac:dyDescent="0.2">
      <c r="A139" s="10" t="s">
        <v>572</v>
      </c>
      <c r="B139" s="39">
        <v>2106.8000000000002</v>
      </c>
      <c r="C139" s="13">
        <v>18</v>
      </c>
      <c r="AA139" s="8">
        <f t="shared" si="9"/>
        <v>138</v>
      </c>
      <c r="AB139" s="8">
        <v>0.59781273826877401</v>
      </c>
    </row>
    <row r="140" spans="1:28" ht="64" x14ac:dyDescent="0.2">
      <c r="A140" s="10" t="s">
        <v>725</v>
      </c>
      <c r="B140" s="39">
        <v>939.52</v>
      </c>
      <c r="C140" s="13">
        <v>19</v>
      </c>
      <c r="AA140" s="8">
        <f t="shared" si="9"/>
        <v>139</v>
      </c>
      <c r="AB140" s="8">
        <v>0.59781273826877401</v>
      </c>
    </row>
    <row r="141" spans="1:28" ht="64" x14ac:dyDescent="0.2">
      <c r="A141" s="10" t="s">
        <v>726</v>
      </c>
      <c r="B141" s="39">
        <v>590.24</v>
      </c>
      <c r="C141" s="13">
        <v>19</v>
      </c>
      <c r="AA141" s="8">
        <f t="shared" si="9"/>
        <v>140</v>
      </c>
      <c r="AB141" s="8">
        <v>0.59781273826877401</v>
      </c>
    </row>
    <row r="142" spans="1:28" ht="64" x14ac:dyDescent="0.2">
      <c r="A142" s="10" t="s">
        <v>727</v>
      </c>
      <c r="B142" s="39">
        <v>1675.28</v>
      </c>
      <c r="C142" s="13">
        <v>19</v>
      </c>
      <c r="AA142" s="8">
        <f t="shared" si="9"/>
        <v>141</v>
      </c>
      <c r="AB142" s="8">
        <v>0.59781273826877401</v>
      </c>
    </row>
    <row r="143" spans="1:28" ht="48" x14ac:dyDescent="0.2">
      <c r="A143" s="10" t="s">
        <v>314</v>
      </c>
      <c r="B143" s="39">
        <v>4365.5</v>
      </c>
      <c r="C143" s="13">
        <v>20</v>
      </c>
      <c r="AA143" s="8">
        <f t="shared" si="9"/>
        <v>142</v>
      </c>
      <c r="AB143" s="8">
        <v>0.59781273826877401</v>
      </c>
    </row>
    <row r="144" spans="1:28" ht="48" x14ac:dyDescent="0.2">
      <c r="A144" s="10" t="s">
        <v>315</v>
      </c>
      <c r="B144" s="39">
        <v>1905.88</v>
      </c>
      <c r="C144" s="13">
        <v>20</v>
      </c>
      <c r="AA144" s="8">
        <f t="shared" si="9"/>
        <v>143</v>
      </c>
      <c r="AB144" s="8">
        <v>0.59781273826877401</v>
      </c>
    </row>
    <row r="145" spans="1:28" ht="48" x14ac:dyDescent="0.2">
      <c r="A145" s="10" t="s">
        <v>316</v>
      </c>
      <c r="B145" s="39">
        <v>160.88</v>
      </c>
      <c r="C145" s="13">
        <v>20</v>
      </c>
      <c r="AA145" s="8">
        <f t="shared" si="9"/>
        <v>144</v>
      </c>
      <c r="AB145" s="8">
        <v>0.59781273826877401</v>
      </c>
    </row>
    <row r="146" spans="1:28" ht="64" x14ac:dyDescent="0.2">
      <c r="A146" s="10" t="s">
        <v>317</v>
      </c>
      <c r="B146" s="39">
        <v>80.44</v>
      </c>
      <c r="C146" s="13">
        <v>20</v>
      </c>
      <c r="AA146" s="8">
        <f t="shared" si="9"/>
        <v>145</v>
      </c>
      <c r="AB146" s="8">
        <v>0.59781273826877401</v>
      </c>
    </row>
    <row r="147" spans="1:28" ht="48" x14ac:dyDescent="0.2">
      <c r="A147" s="10" t="s">
        <v>318</v>
      </c>
      <c r="B147" s="39">
        <v>241.32</v>
      </c>
      <c r="C147" s="13">
        <v>20</v>
      </c>
      <c r="AA147" s="8">
        <f t="shared" si="9"/>
        <v>146</v>
      </c>
      <c r="AB147" s="8">
        <v>0.59781273826877401</v>
      </c>
    </row>
    <row r="148" spans="1:28" ht="48" x14ac:dyDescent="0.2">
      <c r="A148" s="10" t="s">
        <v>319</v>
      </c>
      <c r="B148" s="39">
        <v>1126.1600000000001</v>
      </c>
      <c r="C148" s="13">
        <v>20</v>
      </c>
      <c r="AA148" s="8">
        <f t="shared" si="9"/>
        <v>147</v>
      </c>
      <c r="AB148" s="8">
        <v>0.59781273826877401</v>
      </c>
    </row>
    <row r="149" spans="1:28" ht="32" x14ac:dyDescent="0.2">
      <c r="A149" s="10" t="s">
        <v>320</v>
      </c>
      <c r="B149" s="39">
        <v>1386.56</v>
      </c>
      <c r="C149" s="13">
        <v>20</v>
      </c>
      <c r="AA149" s="8">
        <f t="shared" si="9"/>
        <v>148</v>
      </c>
      <c r="AB149" s="8">
        <v>0.59781273826877401</v>
      </c>
    </row>
    <row r="150" spans="1:28" ht="32" x14ac:dyDescent="0.2">
      <c r="A150" s="10" t="s">
        <v>321</v>
      </c>
      <c r="B150" s="39">
        <v>1386.56</v>
      </c>
      <c r="C150" s="13">
        <v>20</v>
      </c>
      <c r="AA150" s="8">
        <f t="shared" si="9"/>
        <v>149</v>
      </c>
      <c r="AB150" s="8">
        <v>0.59781273826877401</v>
      </c>
    </row>
    <row r="151" spans="1:28" ht="32" x14ac:dyDescent="0.2">
      <c r="A151" s="10" t="s">
        <v>322</v>
      </c>
      <c r="B151" s="39">
        <v>80.44</v>
      </c>
      <c r="C151" s="13">
        <v>20</v>
      </c>
      <c r="AA151" s="8">
        <f t="shared" si="9"/>
        <v>150</v>
      </c>
      <c r="AB151" s="8">
        <v>0.59781273826877401</v>
      </c>
    </row>
    <row r="152" spans="1:28" ht="32" x14ac:dyDescent="0.2">
      <c r="A152" s="10" t="s">
        <v>323</v>
      </c>
      <c r="B152" s="39">
        <v>321.76</v>
      </c>
      <c r="C152" s="13">
        <v>20</v>
      </c>
      <c r="AA152" s="8">
        <f t="shared" si="9"/>
        <v>151</v>
      </c>
      <c r="AB152" s="8">
        <v>0.59781273826877401</v>
      </c>
    </row>
    <row r="153" spans="1:28" ht="32" x14ac:dyDescent="0.2">
      <c r="A153" s="10" t="s">
        <v>324</v>
      </c>
      <c r="B153" s="39">
        <v>804.4</v>
      </c>
      <c r="C153" s="13">
        <v>20</v>
      </c>
      <c r="AA153" s="8">
        <f t="shared" si="9"/>
        <v>152</v>
      </c>
      <c r="AB153" s="8">
        <v>0.59781273826877401</v>
      </c>
    </row>
    <row r="154" spans="1:28" ht="64" x14ac:dyDescent="0.2">
      <c r="A154" s="10" t="s">
        <v>405</v>
      </c>
      <c r="B154" s="39">
        <v>2149.31</v>
      </c>
      <c r="C154" s="13">
        <v>20</v>
      </c>
      <c r="AA154" s="8">
        <f t="shared" si="9"/>
        <v>153</v>
      </c>
      <c r="AB154" s="8">
        <v>0.59781273826877401</v>
      </c>
    </row>
    <row r="155" spans="1:28" ht="64" x14ac:dyDescent="0.2">
      <c r="A155" s="10" t="s">
        <v>406</v>
      </c>
      <c r="B155" s="39">
        <v>3647.7</v>
      </c>
      <c r="C155" s="13">
        <v>20</v>
      </c>
      <c r="AA155" s="8">
        <f t="shared" si="9"/>
        <v>154</v>
      </c>
      <c r="AB155" s="8">
        <v>0.59781273826877401</v>
      </c>
    </row>
    <row r="156" spans="1:28" ht="64" x14ac:dyDescent="0.2">
      <c r="A156" s="10" t="s">
        <v>407</v>
      </c>
      <c r="B156" s="39">
        <v>10595.25</v>
      </c>
      <c r="C156" s="13">
        <v>20</v>
      </c>
      <c r="AA156" s="8">
        <f t="shared" si="9"/>
        <v>155</v>
      </c>
      <c r="AB156" s="8">
        <v>0.59781273826877401</v>
      </c>
    </row>
    <row r="157" spans="1:28" ht="64" x14ac:dyDescent="0.2">
      <c r="A157" s="10" t="s">
        <v>408</v>
      </c>
      <c r="B157" s="39">
        <v>3005.67</v>
      </c>
      <c r="C157" s="13">
        <v>20</v>
      </c>
      <c r="AA157" s="8">
        <f t="shared" si="9"/>
        <v>156</v>
      </c>
      <c r="AB157" s="8">
        <v>0.59781273826877401</v>
      </c>
    </row>
    <row r="158" spans="1:28" ht="64" x14ac:dyDescent="0.2">
      <c r="A158" s="10" t="s">
        <v>409</v>
      </c>
      <c r="B158" s="39">
        <v>479.55</v>
      </c>
      <c r="C158" s="13">
        <v>20</v>
      </c>
      <c r="AA158" s="8">
        <f t="shared" si="9"/>
        <v>157</v>
      </c>
      <c r="AB158" s="8">
        <v>0.59781273826877401</v>
      </c>
    </row>
    <row r="159" spans="1:28" ht="48" x14ac:dyDescent="0.2">
      <c r="A159" s="10" t="s">
        <v>410</v>
      </c>
      <c r="B159" s="39">
        <v>383.64</v>
      </c>
      <c r="C159" s="13">
        <v>20</v>
      </c>
      <c r="AA159" s="8">
        <f t="shared" si="9"/>
        <v>158</v>
      </c>
      <c r="AB159" s="8">
        <v>0.59781273826877401</v>
      </c>
    </row>
    <row r="160" spans="1:28" ht="48" x14ac:dyDescent="0.2">
      <c r="A160" s="10" t="s">
        <v>411</v>
      </c>
      <c r="B160" s="39">
        <v>95.91</v>
      </c>
      <c r="C160" s="13">
        <v>20</v>
      </c>
      <c r="AA160" s="8">
        <f t="shared" si="9"/>
        <v>159</v>
      </c>
      <c r="AB160" s="8">
        <v>0.59781273826877401</v>
      </c>
    </row>
    <row r="161" spans="1:28" ht="64" x14ac:dyDescent="0.2">
      <c r="A161" s="10" t="s">
        <v>412</v>
      </c>
      <c r="B161" s="39">
        <v>14084.64</v>
      </c>
      <c r="C161" s="13">
        <v>20</v>
      </c>
      <c r="AA161" s="8">
        <f t="shared" si="9"/>
        <v>160</v>
      </c>
      <c r="AB161" s="8">
        <v>0.59781273826877401</v>
      </c>
    </row>
    <row r="162" spans="1:28" ht="64" x14ac:dyDescent="0.2">
      <c r="A162" s="10" t="s">
        <v>409</v>
      </c>
      <c r="B162" s="39">
        <v>767.28</v>
      </c>
      <c r="C162" s="13">
        <v>20</v>
      </c>
      <c r="AA162" s="8">
        <f t="shared" si="9"/>
        <v>161</v>
      </c>
      <c r="AB162" s="8">
        <v>0.59781273826877401</v>
      </c>
    </row>
    <row r="163" spans="1:28" ht="48" x14ac:dyDescent="0.2">
      <c r="A163" s="10" t="s">
        <v>413</v>
      </c>
      <c r="B163" s="39">
        <v>767.28</v>
      </c>
      <c r="C163" s="13">
        <v>20</v>
      </c>
      <c r="AA163" s="8">
        <f t="shared" si="9"/>
        <v>162</v>
      </c>
      <c r="AB163" s="8">
        <v>0.59781273826877401</v>
      </c>
    </row>
    <row r="164" spans="1:28" ht="32" x14ac:dyDescent="0.2">
      <c r="A164" s="10" t="s">
        <v>101</v>
      </c>
      <c r="B164" s="39">
        <v>803</v>
      </c>
      <c r="C164" s="13">
        <v>20</v>
      </c>
      <c r="AA164" s="8">
        <f t="shared" si="9"/>
        <v>163</v>
      </c>
      <c r="AB164" s="8">
        <v>0.59781273826877401</v>
      </c>
    </row>
    <row r="165" spans="1:28" ht="16" x14ac:dyDescent="0.2">
      <c r="A165" s="10" t="s">
        <v>53</v>
      </c>
      <c r="B165" s="39">
        <v>724.5</v>
      </c>
      <c r="C165" s="13">
        <v>20</v>
      </c>
      <c r="AA165" s="8">
        <f t="shared" si="9"/>
        <v>164</v>
      </c>
      <c r="AB165" s="8">
        <v>0.59781273826877401</v>
      </c>
    </row>
    <row r="166" spans="1:28" ht="64" x14ac:dyDescent="0.2">
      <c r="A166" s="10" t="s">
        <v>569</v>
      </c>
      <c r="B166" s="39">
        <v>6450.12</v>
      </c>
      <c r="C166" s="13">
        <v>20</v>
      </c>
      <c r="AA166" s="8">
        <f t="shared" si="9"/>
        <v>165</v>
      </c>
      <c r="AB166" s="8">
        <v>0.59781273826877401</v>
      </c>
    </row>
    <row r="167" spans="1:28" ht="64" x14ac:dyDescent="0.2">
      <c r="A167" s="10" t="s">
        <v>570</v>
      </c>
      <c r="B167" s="39">
        <v>26.22</v>
      </c>
      <c r="C167" s="13">
        <v>20</v>
      </c>
      <c r="AA167" s="8">
        <f t="shared" si="9"/>
        <v>166</v>
      </c>
      <c r="AB167" s="8">
        <v>0.59781273826877401</v>
      </c>
    </row>
    <row r="168" spans="1:28" ht="16" x14ac:dyDescent="0.2">
      <c r="A168" s="10" t="s">
        <v>571</v>
      </c>
      <c r="B168" s="39">
        <v>6864</v>
      </c>
      <c r="C168" s="13">
        <v>20</v>
      </c>
      <c r="AA168" s="8">
        <f t="shared" si="9"/>
        <v>167</v>
      </c>
      <c r="AB168" s="8">
        <v>0.59781273826877401</v>
      </c>
    </row>
    <row r="169" spans="1:28" ht="48" x14ac:dyDescent="0.2">
      <c r="A169" s="10" t="s">
        <v>620</v>
      </c>
      <c r="B169" s="39">
        <v>1295.5999999999999</v>
      </c>
      <c r="C169" s="13">
        <v>20</v>
      </c>
      <c r="AA169" s="8">
        <f t="shared" si="9"/>
        <v>168</v>
      </c>
      <c r="AB169" s="8">
        <v>0.59781273826877401</v>
      </c>
    </row>
    <row r="170" spans="1:28" ht="16" x14ac:dyDescent="0.2">
      <c r="A170" s="10" t="s">
        <v>627</v>
      </c>
      <c r="B170" s="39">
        <v>250</v>
      </c>
      <c r="C170" s="13">
        <v>20</v>
      </c>
      <c r="AA170" s="8">
        <f t="shared" si="9"/>
        <v>169</v>
      </c>
      <c r="AB170" s="8">
        <v>0.59781273826877401</v>
      </c>
    </row>
    <row r="171" spans="1:28" ht="16" x14ac:dyDescent="0.2">
      <c r="A171" s="10" t="s">
        <v>627</v>
      </c>
      <c r="B171" s="39">
        <v>250</v>
      </c>
      <c r="C171" s="13">
        <v>20</v>
      </c>
      <c r="AA171" s="8">
        <f t="shared" si="9"/>
        <v>170</v>
      </c>
      <c r="AB171" s="8">
        <v>0.59781273826877401</v>
      </c>
    </row>
    <row r="172" spans="1:28" ht="16" x14ac:dyDescent="0.2">
      <c r="A172" s="10" t="s">
        <v>628</v>
      </c>
      <c r="B172" s="39">
        <v>250</v>
      </c>
      <c r="C172" s="13">
        <v>20</v>
      </c>
      <c r="AA172" s="8">
        <f t="shared" si="9"/>
        <v>171</v>
      </c>
      <c r="AB172" s="8">
        <v>0.59781273826877401</v>
      </c>
    </row>
    <row r="173" spans="1:28" ht="16" x14ac:dyDescent="0.2">
      <c r="A173" s="10" t="s">
        <v>628</v>
      </c>
      <c r="B173" s="39">
        <v>250</v>
      </c>
      <c r="C173" s="13">
        <v>20</v>
      </c>
      <c r="AA173" s="8">
        <f t="shared" si="9"/>
        <v>172</v>
      </c>
      <c r="AB173" s="8">
        <v>0.59781273826877401</v>
      </c>
    </row>
    <row r="174" spans="1:28" ht="48" x14ac:dyDescent="0.2">
      <c r="A174" s="10" t="s">
        <v>688</v>
      </c>
      <c r="B174" s="39">
        <v>1057.44</v>
      </c>
      <c r="C174" s="13">
        <v>20</v>
      </c>
      <c r="AA174" s="8">
        <f t="shared" si="9"/>
        <v>173</v>
      </c>
      <c r="AB174" s="8">
        <v>0.59781273826877401</v>
      </c>
    </row>
    <row r="175" spans="1:28" ht="16" x14ac:dyDescent="0.2">
      <c r="A175" s="10" t="s">
        <v>689</v>
      </c>
      <c r="B175" s="39">
        <v>321.76</v>
      </c>
      <c r="C175" s="13">
        <v>20</v>
      </c>
      <c r="AA175" s="8">
        <f t="shared" si="9"/>
        <v>174</v>
      </c>
      <c r="AB175" s="8">
        <v>0.59781273826877401</v>
      </c>
    </row>
    <row r="176" spans="1:28" x14ac:dyDescent="0.2">
      <c r="A176" s="17" t="s">
        <v>860</v>
      </c>
      <c r="B176" s="39">
        <v>1500</v>
      </c>
      <c r="C176" s="13">
        <v>20</v>
      </c>
      <c r="AA176" s="8">
        <f t="shared" si="9"/>
        <v>175</v>
      </c>
      <c r="AB176" s="8">
        <v>0.59781273826877401</v>
      </c>
    </row>
    <row r="177" spans="1:28" x14ac:dyDescent="0.2">
      <c r="A177" s="17" t="s">
        <v>862</v>
      </c>
      <c r="B177" s="39">
        <v>600</v>
      </c>
      <c r="C177" s="13">
        <v>20</v>
      </c>
      <c r="AA177" s="8">
        <f t="shared" si="9"/>
        <v>176</v>
      </c>
      <c r="AB177" s="8">
        <v>0.59781273826877401</v>
      </c>
    </row>
    <row r="178" spans="1:28" x14ac:dyDescent="0.2">
      <c r="A178" s="17" t="s">
        <v>863</v>
      </c>
      <c r="B178" s="39">
        <v>200</v>
      </c>
      <c r="C178" s="13">
        <v>20</v>
      </c>
      <c r="AA178" s="8">
        <f t="shared" si="9"/>
        <v>177</v>
      </c>
      <c r="AB178" s="8">
        <v>0.59781273826877401</v>
      </c>
    </row>
    <row r="179" spans="1:28" x14ac:dyDescent="0.2">
      <c r="A179" s="17" t="s">
        <v>865</v>
      </c>
      <c r="B179" s="39">
        <v>2600</v>
      </c>
      <c r="C179" s="13">
        <v>20</v>
      </c>
      <c r="AA179" s="8">
        <f t="shared" si="9"/>
        <v>178</v>
      </c>
      <c r="AB179" s="8">
        <v>0.59781273826877401</v>
      </c>
    </row>
    <row r="180" spans="1:28" x14ac:dyDescent="0.2">
      <c r="A180" s="21" t="s">
        <v>873</v>
      </c>
      <c r="B180" s="39">
        <v>600</v>
      </c>
      <c r="C180" s="13">
        <v>20</v>
      </c>
      <c r="AA180" s="8">
        <f t="shared" si="9"/>
        <v>179</v>
      </c>
      <c r="AB180" s="8">
        <v>0.59781273826877401</v>
      </c>
    </row>
    <row r="181" spans="1:28" x14ac:dyDescent="0.2">
      <c r="A181" s="21" t="s">
        <v>874</v>
      </c>
      <c r="B181" s="39">
        <v>200</v>
      </c>
      <c r="C181" s="13">
        <v>20</v>
      </c>
      <c r="AA181" s="8">
        <f t="shared" si="9"/>
        <v>180</v>
      </c>
      <c r="AB181" s="8">
        <v>0.59781273826877401</v>
      </c>
    </row>
    <row r="182" spans="1:28" ht="64" x14ac:dyDescent="0.2">
      <c r="A182" s="10" t="s">
        <v>297</v>
      </c>
      <c r="B182" s="39">
        <v>6601</v>
      </c>
      <c r="C182" s="13">
        <v>22</v>
      </c>
      <c r="AA182" s="8">
        <f t="shared" si="9"/>
        <v>181</v>
      </c>
      <c r="AB182" s="8">
        <v>0.59781273826877401</v>
      </c>
    </row>
    <row r="183" spans="1:28" ht="64" x14ac:dyDescent="0.2">
      <c r="A183" s="10" t="s">
        <v>298</v>
      </c>
      <c r="B183" s="39">
        <v>7175</v>
      </c>
      <c r="C183" s="13">
        <v>22</v>
      </c>
      <c r="AA183" s="8">
        <f t="shared" si="9"/>
        <v>182</v>
      </c>
      <c r="AB183" s="8">
        <v>0.59781273826877401</v>
      </c>
    </row>
    <row r="184" spans="1:28" ht="96" x14ac:dyDescent="0.2">
      <c r="A184" s="10" t="s">
        <v>492</v>
      </c>
      <c r="B184" s="39">
        <v>3065.9</v>
      </c>
      <c r="C184" s="13">
        <v>22</v>
      </c>
      <c r="AA184" s="8">
        <f t="shared" si="9"/>
        <v>183</v>
      </c>
      <c r="AB184" s="8">
        <v>0.59781273826877401</v>
      </c>
    </row>
    <row r="185" spans="1:28" ht="96" x14ac:dyDescent="0.2">
      <c r="A185" s="10" t="s">
        <v>493</v>
      </c>
      <c r="B185" s="39">
        <v>174.68</v>
      </c>
      <c r="C185" s="13">
        <v>22</v>
      </c>
      <c r="AA185" s="8">
        <f t="shared" si="9"/>
        <v>184</v>
      </c>
      <c r="AB185" s="8">
        <v>0.59781273826877401</v>
      </c>
    </row>
    <row r="186" spans="1:28" ht="32" x14ac:dyDescent="0.2">
      <c r="A186" s="10" t="s">
        <v>707</v>
      </c>
      <c r="B186" s="39">
        <v>13057.56</v>
      </c>
      <c r="C186" s="13">
        <v>23</v>
      </c>
      <c r="AA186" s="8">
        <f t="shared" si="9"/>
        <v>185</v>
      </c>
      <c r="AB186" s="8">
        <v>0.59781273826877401</v>
      </c>
    </row>
    <row r="187" spans="1:28" ht="16" x14ac:dyDescent="0.2">
      <c r="A187" s="10" t="s">
        <v>708</v>
      </c>
      <c r="B187" s="39">
        <v>210.6</v>
      </c>
      <c r="C187" s="13">
        <v>23</v>
      </c>
      <c r="AA187" s="8">
        <f t="shared" si="9"/>
        <v>186</v>
      </c>
      <c r="AB187" s="8">
        <v>0.59781273826877401</v>
      </c>
    </row>
    <row r="188" spans="1:28" ht="32" x14ac:dyDescent="0.2">
      <c r="A188" s="10" t="s">
        <v>821</v>
      </c>
      <c r="B188" s="39">
        <v>1002.24</v>
      </c>
      <c r="C188" s="13">
        <v>24</v>
      </c>
      <c r="AA188" s="8">
        <f t="shared" si="9"/>
        <v>187</v>
      </c>
      <c r="AB188" s="8">
        <v>0.59781273826877401</v>
      </c>
    </row>
    <row r="189" spans="1:28" ht="32" x14ac:dyDescent="0.2">
      <c r="A189" s="10" t="s">
        <v>822</v>
      </c>
      <c r="B189" s="39">
        <v>1175.04</v>
      </c>
      <c r="C189" s="13">
        <v>24</v>
      </c>
      <c r="AA189" s="8">
        <f t="shared" si="9"/>
        <v>188</v>
      </c>
      <c r="AB189" s="8">
        <v>0.59781273826877401</v>
      </c>
    </row>
    <row r="190" spans="1:28" ht="16" x14ac:dyDescent="0.2">
      <c r="A190" s="10" t="s">
        <v>841</v>
      </c>
      <c r="B190" s="39">
        <v>2626.56</v>
      </c>
      <c r="C190" s="13">
        <v>24</v>
      </c>
      <c r="AA190" s="8">
        <f t="shared" si="9"/>
        <v>189</v>
      </c>
      <c r="AB190" s="8">
        <v>0.59781273826877401</v>
      </c>
    </row>
    <row r="191" spans="1:28" ht="16" x14ac:dyDescent="0.2">
      <c r="A191" s="10" t="s">
        <v>842</v>
      </c>
      <c r="B191" s="39">
        <v>2574.7199999999998</v>
      </c>
      <c r="C191" s="13">
        <v>24</v>
      </c>
      <c r="AA191" s="8">
        <f t="shared" si="9"/>
        <v>190</v>
      </c>
      <c r="AB191" s="8">
        <v>0.59781273826877401</v>
      </c>
    </row>
    <row r="192" spans="1:28" ht="32" x14ac:dyDescent="0.2">
      <c r="A192" s="10" t="s">
        <v>843</v>
      </c>
      <c r="B192" s="39">
        <v>2574.7199999999998</v>
      </c>
      <c r="C192" s="13">
        <v>24</v>
      </c>
      <c r="AA192" s="8">
        <f t="shared" si="9"/>
        <v>191</v>
      </c>
      <c r="AB192" s="8">
        <v>0.59781273826877401</v>
      </c>
    </row>
    <row r="193" spans="1:28" ht="32" x14ac:dyDescent="0.2">
      <c r="A193" s="10" t="s">
        <v>844</v>
      </c>
      <c r="B193" s="39">
        <v>768.96</v>
      </c>
      <c r="C193" s="13">
        <v>24</v>
      </c>
      <c r="AA193" s="8">
        <f t="shared" si="9"/>
        <v>192</v>
      </c>
      <c r="AB193" s="8">
        <v>0.59781273826877401</v>
      </c>
    </row>
    <row r="194" spans="1:28" ht="64" x14ac:dyDescent="0.2">
      <c r="A194" s="10" t="s">
        <v>261</v>
      </c>
      <c r="B194" s="39">
        <v>3060</v>
      </c>
      <c r="C194" s="13">
        <v>26</v>
      </c>
      <c r="AA194" s="8">
        <f t="shared" si="9"/>
        <v>193</v>
      </c>
      <c r="AB194" s="8">
        <v>0.59781273826877401</v>
      </c>
    </row>
    <row r="195" spans="1:28" ht="64" x14ac:dyDescent="0.2">
      <c r="A195" s="10" t="s">
        <v>262</v>
      </c>
      <c r="B195" s="39">
        <v>31990</v>
      </c>
      <c r="C195" s="13">
        <v>26</v>
      </c>
      <c r="AA195" s="8">
        <f t="shared" si="9"/>
        <v>194</v>
      </c>
      <c r="AB195" s="8">
        <v>0.59781273826877401</v>
      </c>
    </row>
    <row r="196" spans="1:28" ht="96" x14ac:dyDescent="0.2">
      <c r="A196" s="10" t="s">
        <v>263</v>
      </c>
      <c r="B196" s="39">
        <v>852</v>
      </c>
      <c r="C196" s="13">
        <v>26</v>
      </c>
      <c r="AA196" s="8">
        <f t="shared" ref="AA196:AA259" si="10">AA195+1</f>
        <v>195</v>
      </c>
      <c r="AB196" s="8">
        <v>0.59781273826877401</v>
      </c>
    </row>
    <row r="197" spans="1:28" ht="96" x14ac:dyDescent="0.2">
      <c r="A197" s="10" t="s">
        <v>264</v>
      </c>
      <c r="B197" s="39">
        <v>80</v>
      </c>
      <c r="C197" s="13">
        <v>26</v>
      </c>
      <c r="AA197" s="8">
        <f t="shared" si="10"/>
        <v>196</v>
      </c>
      <c r="AB197" s="8">
        <v>0.59781273826877401</v>
      </c>
    </row>
    <row r="198" spans="1:28" ht="96" x14ac:dyDescent="0.2">
      <c r="A198" s="10" t="s">
        <v>265</v>
      </c>
      <c r="B198" s="39">
        <v>184</v>
      </c>
      <c r="C198" s="13">
        <v>26</v>
      </c>
      <c r="AA198" s="8">
        <f t="shared" si="10"/>
        <v>197</v>
      </c>
      <c r="AB198" s="8">
        <v>0.59781273826877401</v>
      </c>
    </row>
    <row r="199" spans="1:28" ht="96" x14ac:dyDescent="0.2">
      <c r="A199" s="10" t="s">
        <v>266</v>
      </c>
      <c r="B199" s="39">
        <v>4134</v>
      </c>
      <c r="C199" s="13">
        <v>26</v>
      </c>
      <c r="AA199" s="8">
        <f t="shared" si="10"/>
        <v>198</v>
      </c>
      <c r="AB199" s="8">
        <v>0.59781273826877401</v>
      </c>
    </row>
    <row r="200" spans="1:28" ht="96" x14ac:dyDescent="0.2">
      <c r="A200" s="10" t="s">
        <v>267</v>
      </c>
      <c r="B200" s="39">
        <v>1380</v>
      </c>
      <c r="C200" s="13">
        <v>26</v>
      </c>
      <c r="AA200" s="8">
        <f t="shared" si="10"/>
        <v>199</v>
      </c>
      <c r="AB200" s="8">
        <v>0.59781273826877401</v>
      </c>
    </row>
    <row r="201" spans="1:28" ht="48" x14ac:dyDescent="0.2">
      <c r="A201" s="10" t="s">
        <v>268</v>
      </c>
      <c r="B201" s="39">
        <v>3193</v>
      </c>
      <c r="C201" s="13">
        <v>26</v>
      </c>
      <c r="AA201" s="8">
        <f t="shared" si="10"/>
        <v>200</v>
      </c>
      <c r="AB201" s="8">
        <v>0.59781273826877401</v>
      </c>
    </row>
    <row r="202" spans="1:28" ht="32" x14ac:dyDescent="0.2">
      <c r="A202" s="10" t="s">
        <v>269</v>
      </c>
      <c r="B202" s="39">
        <v>8325</v>
      </c>
      <c r="C202" s="13">
        <v>26</v>
      </c>
      <c r="AA202" s="8">
        <f t="shared" si="10"/>
        <v>201</v>
      </c>
      <c r="AB202" s="8">
        <v>0.59781273826877401</v>
      </c>
    </row>
    <row r="203" spans="1:28" ht="48" x14ac:dyDescent="0.2">
      <c r="A203" s="10" t="s">
        <v>270</v>
      </c>
      <c r="B203" s="39">
        <v>1836</v>
      </c>
      <c r="C203" s="13">
        <v>26</v>
      </c>
      <c r="AA203" s="8">
        <f t="shared" si="10"/>
        <v>202</v>
      </c>
      <c r="AB203" s="8">
        <v>0.59781273826877401</v>
      </c>
    </row>
    <row r="204" spans="1:28" ht="16" x14ac:dyDescent="0.2">
      <c r="A204" s="10" t="s">
        <v>271</v>
      </c>
      <c r="B204" s="39">
        <v>100</v>
      </c>
      <c r="C204" s="13">
        <v>26</v>
      </c>
      <c r="AA204" s="8">
        <f t="shared" si="10"/>
        <v>203</v>
      </c>
      <c r="AB204" s="8">
        <v>0.59781273826877401</v>
      </c>
    </row>
    <row r="205" spans="1:28" ht="16" x14ac:dyDescent="0.2">
      <c r="A205" s="10" t="s">
        <v>272</v>
      </c>
      <c r="B205" s="39">
        <v>252</v>
      </c>
      <c r="C205" s="13">
        <v>26</v>
      </c>
      <c r="AA205" s="8">
        <f t="shared" si="10"/>
        <v>204</v>
      </c>
      <c r="AB205" s="8">
        <v>0.59781273826877401</v>
      </c>
    </row>
    <row r="206" spans="1:28" ht="64" x14ac:dyDescent="0.2">
      <c r="A206" s="10" t="s">
        <v>299</v>
      </c>
      <c r="B206" s="39">
        <v>1610.03</v>
      </c>
      <c r="C206" s="13">
        <v>26</v>
      </c>
      <c r="AA206" s="8">
        <f t="shared" si="10"/>
        <v>205</v>
      </c>
      <c r="AB206" s="8">
        <v>0.59781273826877401</v>
      </c>
    </row>
    <row r="207" spans="1:28" ht="64" x14ac:dyDescent="0.2">
      <c r="A207" s="10" t="s">
        <v>300</v>
      </c>
      <c r="B207" s="39">
        <v>502.25</v>
      </c>
      <c r="C207" s="13">
        <v>26</v>
      </c>
      <c r="AA207" s="8">
        <f t="shared" si="10"/>
        <v>206</v>
      </c>
      <c r="AB207" s="8">
        <v>0.59781273826877401</v>
      </c>
    </row>
    <row r="208" spans="1:28" ht="64" x14ac:dyDescent="0.2">
      <c r="A208" s="10" t="s">
        <v>301</v>
      </c>
      <c r="B208" s="39">
        <v>373.1</v>
      </c>
      <c r="C208" s="13">
        <v>26</v>
      </c>
      <c r="AA208" s="8">
        <f t="shared" si="10"/>
        <v>207</v>
      </c>
      <c r="AB208" s="8">
        <v>0.59781273826877401</v>
      </c>
    </row>
    <row r="209" spans="1:28" ht="48" x14ac:dyDescent="0.2">
      <c r="A209" s="10" t="s">
        <v>302</v>
      </c>
      <c r="B209" s="39">
        <v>2585.34</v>
      </c>
      <c r="C209" s="13">
        <v>26</v>
      </c>
      <c r="AA209" s="8">
        <f t="shared" si="10"/>
        <v>208</v>
      </c>
      <c r="AB209" s="8">
        <v>0.59781273826877401</v>
      </c>
    </row>
    <row r="210" spans="1:28" ht="48" x14ac:dyDescent="0.2">
      <c r="A210" s="10" t="s">
        <v>303</v>
      </c>
      <c r="B210" s="39">
        <v>234.6</v>
      </c>
      <c r="C210" s="13">
        <v>26</v>
      </c>
      <c r="AA210" s="8">
        <f t="shared" si="10"/>
        <v>209</v>
      </c>
      <c r="AB210" s="8">
        <v>0.59781273826877401</v>
      </c>
    </row>
    <row r="211" spans="1:28" ht="48" x14ac:dyDescent="0.2">
      <c r="A211" s="10" t="s">
        <v>304</v>
      </c>
      <c r="B211" s="39">
        <v>293.14999999999998</v>
      </c>
      <c r="C211" s="13">
        <v>26</v>
      </c>
      <c r="AA211" s="8">
        <f t="shared" si="10"/>
        <v>210</v>
      </c>
      <c r="AB211" s="8">
        <v>0.59781273826877401</v>
      </c>
    </row>
    <row r="212" spans="1:28" ht="48" x14ac:dyDescent="0.2">
      <c r="A212" s="10" t="s">
        <v>305</v>
      </c>
      <c r="B212" s="39">
        <v>207.35</v>
      </c>
      <c r="C212" s="13">
        <v>26</v>
      </c>
      <c r="AA212" s="8">
        <f t="shared" si="10"/>
        <v>211</v>
      </c>
      <c r="AB212" s="8">
        <v>0.59781273826877401</v>
      </c>
    </row>
    <row r="213" spans="1:28" ht="16" x14ac:dyDescent="0.2">
      <c r="A213" s="10" t="s">
        <v>522</v>
      </c>
      <c r="B213" s="39">
        <v>270</v>
      </c>
      <c r="C213" s="13">
        <v>26</v>
      </c>
      <c r="AA213" s="8">
        <f t="shared" si="10"/>
        <v>212</v>
      </c>
      <c r="AB213" s="8">
        <v>0.59781273826877401</v>
      </c>
    </row>
    <row r="214" spans="1:28" ht="16" x14ac:dyDescent="0.2">
      <c r="A214" s="10" t="s">
        <v>523</v>
      </c>
      <c r="B214" s="39">
        <v>270</v>
      </c>
      <c r="C214" s="13">
        <v>26</v>
      </c>
      <c r="AA214" s="8">
        <f t="shared" si="10"/>
        <v>213</v>
      </c>
      <c r="AB214" s="8">
        <v>0.59781273826877401</v>
      </c>
    </row>
    <row r="215" spans="1:28" ht="16" x14ac:dyDescent="0.2">
      <c r="A215" s="10" t="s">
        <v>524</v>
      </c>
      <c r="B215" s="39">
        <v>135</v>
      </c>
      <c r="C215" s="13">
        <v>26</v>
      </c>
      <c r="AA215" s="8">
        <f t="shared" si="10"/>
        <v>214</v>
      </c>
      <c r="AB215" s="8">
        <v>0.59781273826877401</v>
      </c>
    </row>
    <row r="216" spans="1:28" ht="48" x14ac:dyDescent="0.2">
      <c r="A216" s="10" t="s">
        <v>606</v>
      </c>
      <c r="B216" s="39">
        <v>7242</v>
      </c>
      <c r="C216" s="13">
        <v>26</v>
      </c>
      <c r="AA216" s="8">
        <f t="shared" si="10"/>
        <v>215</v>
      </c>
      <c r="AB216" s="8">
        <v>0.59781273826877401</v>
      </c>
    </row>
    <row r="217" spans="1:28" ht="48" x14ac:dyDescent="0.2">
      <c r="A217" s="10" t="s">
        <v>607</v>
      </c>
      <c r="B217" s="39">
        <v>125</v>
      </c>
      <c r="C217" s="13">
        <v>26</v>
      </c>
      <c r="AA217" s="8">
        <f t="shared" si="10"/>
        <v>216</v>
      </c>
      <c r="AB217" s="8">
        <v>0.59781273826877401</v>
      </c>
    </row>
    <row r="218" spans="1:28" ht="32" x14ac:dyDescent="0.2">
      <c r="A218" s="10" t="s">
        <v>608</v>
      </c>
      <c r="B218" s="39">
        <v>310.5</v>
      </c>
      <c r="C218" s="13">
        <v>26</v>
      </c>
      <c r="AA218" s="8">
        <f t="shared" si="10"/>
        <v>217</v>
      </c>
      <c r="AB218" s="8">
        <v>0.59781273826877401</v>
      </c>
    </row>
    <row r="219" spans="1:28" ht="16" x14ac:dyDescent="0.2">
      <c r="A219" s="10" t="s">
        <v>609</v>
      </c>
      <c r="B219" s="39">
        <v>500</v>
      </c>
      <c r="C219" s="13">
        <v>26</v>
      </c>
      <c r="AA219" s="8">
        <f t="shared" si="10"/>
        <v>218</v>
      </c>
      <c r="AB219" s="8">
        <v>0.59781273826877401</v>
      </c>
    </row>
    <row r="220" spans="1:28" ht="48" x14ac:dyDescent="0.2">
      <c r="A220" s="10" t="s">
        <v>642</v>
      </c>
      <c r="B220" s="39">
        <v>21385</v>
      </c>
      <c r="C220" s="13">
        <v>26</v>
      </c>
      <c r="AA220" s="8">
        <f t="shared" si="10"/>
        <v>219</v>
      </c>
      <c r="AB220" s="8">
        <v>0.59781273826877401</v>
      </c>
    </row>
    <row r="221" spans="1:28" ht="48" x14ac:dyDescent="0.2">
      <c r="A221" s="10" t="s">
        <v>553</v>
      </c>
      <c r="B221" s="39">
        <v>14352</v>
      </c>
      <c r="C221" s="13">
        <v>27</v>
      </c>
      <c r="AA221" s="8">
        <f t="shared" si="10"/>
        <v>220</v>
      </c>
      <c r="AB221" s="8">
        <v>0.59781273826877401</v>
      </c>
    </row>
    <row r="222" spans="1:28" ht="48" x14ac:dyDescent="0.2">
      <c r="A222" s="10" t="s">
        <v>554</v>
      </c>
      <c r="B222" s="39">
        <v>579.6</v>
      </c>
      <c r="C222" s="13">
        <v>27</v>
      </c>
      <c r="AA222" s="8">
        <f t="shared" si="10"/>
        <v>221</v>
      </c>
      <c r="AB222" s="8">
        <v>0.59781273826877401</v>
      </c>
    </row>
    <row r="223" spans="1:28" ht="32" x14ac:dyDescent="0.2">
      <c r="A223" s="10" t="s">
        <v>728</v>
      </c>
      <c r="B223" s="39">
        <v>987.45</v>
      </c>
      <c r="C223" s="13">
        <v>27</v>
      </c>
      <c r="AA223" s="8">
        <f t="shared" si="10"/>
        <v>222</v>
      </c>
      <c r="AB223" s="8">
        <v>0.59781273826877401</v>
      </c>
    </row>
    <row r="224" spans="1:28" ht="48" x14ac:dyDescent="0.2">
      <c r="A224" s="10" t="s">
        <v>729</v>
      </c>
      <c r="B224" s="39">
        <v>2000</v>
      </c>
      <c r="C224" s="13">
        <v>27</v>
      </c>
      <c r="AA224" s="8">
        <f t="shared" si="10"/>
        <v>223</v>
      </c>
      <c r="AB224" s="8">
        <v>0.59781273826877401</v>
      </c>
    </row>
    <row r="225" spans="1:28" ht="80" x14ac:dyDescent="0.2">
      <c r="A225" s="10" t="s">
        <v>730</v>
      </c>
      <c r="B225" s="39">
        <v>1200</v>
      </c>
      <c r="C225" s="13">
        <v>27</v>
      </c>
      <c r="AA225" s="8">
        <f t="shared" si="10"/>
        <v>224</v>
      </c>
      <c r="AB225" s="8">
        <v>0.59781273826877401</v>
      </c>
    </row>
    <row r="226" spans="1:28" ht="32" x14ac:dyDescent="0.2">
      <c r="A226" s="10" t="s">
        <v>389</v>
      </c>
      <c r="B226" s="39">
        <v>7192.91</v>
      </c>
      <c r="C226" s="13">
        <v>29</v>
      </c>
      <c r="AA226" s="8">
        <f t="shared" si="10"/>
        <v>225</v>
      </c>
      <c r="AB226" s="8">
        <v>0.59781273826877401</v>
      </c>
    </row>
    <row r="227" spans="1:28" ht="32" x14ac:dyDescent="0.2">
      <c r="A227" s="10" t="s">
        <v>390</v>
      </c>
      <c r="B227" s="39">
        <v>1097.5999999999999</v>
      </c>
      <c r="C227" s="13">
        <v>29</v>
      </c>
      <c r="AA227" s="8">
        <f t="shared" si="10"/>
        <v>226</v>
      </c>
      <c r="AB227" s="8">
        <v>0.59781273826877401</v>
      </c>
    </row>
    <row r="228" spans="1:28" ht="48" x14ac:dyDescent="0.2">
      <c r="A228" s="10" t="s">
        <v>391</v>
      </c>
      <c r="B228" s="39">
        <v>707.94</v>
      </c>
      <c r="C228" s="13">
        <v>29</v>
      </c>
      <c r="AA228" s="8">
        <f t="shared" si="10"/>
        <v>227</v>
      </c>
      <c r="AB228" s="8">
        <v>0.59781273826877401</v>
      </c>
    </row>
    <row r="229" spans="1:28" ht="32" x14ac:dyDescent="0.2">
      <c r="A229" s="10" t="s">
        <v>392</v>
      </c>
      <c r="B229" s="39">
        <v>375.98</v>
      </c>
      <c r="C229" s="13">
        <v>29</v>
      </c>
      <c r="AA229" s="8">
        <f t="shared" si="10"/>
        <v>228</v>
      </c>
      <c r="AB229" s="8">
        <v>0.59781273826877401</v>
      </c>
    </row>
    <row r="230" spans="1:28" ht="32" x14ac:dyDescent="0.2">
      <c r="A230" s="10" t="s">
        <v>393</v>
      </c>
      <c r="B230" s="39">
        <v>801.81</v>
      </c>
      <c r="C230" s="13">
        <v>29</v>
      </c>
      <c r="AA230" s="8">
        <f t="shared" si="10"/>
        <v>229</v>
      </c>
      <c r="AB230" s="8">
        <v>0.59781273826877401</v>
      </c>
    </row>
    <row r="231" spans="1:28" ht="32" x14ac:dyDescent="0.2">
      <c r="A231" s="10" t="s">
        <v>394</v>
      </c>
      <c r="B231" s="39">
        <v>652.32000000000005</v>
      </c>
      <c r="C231" s="13">
        <v>29</v>
      </c>
      <c r="AA231" s="8">
        <f t="shared" si="10"/>
        <v>230</v>
      </c>
      <c r="AB231" s="8">
        <v>0.59781273826877401</v>
      </c>
    </row>
    <row r="232" spans="1:28" ht="16" x14ac:dyDescent="0.2">
      <c r="A232" s="10" t="s">
        <v>396</v>
      </c>
      <c r="B232" s="39">
        <v>100</v>
      </c>
      <c r="C232" s="13">
        <v>29</v>
      </c>
      <c r="AA232" s="8">
        <f t="shared" si="10"/>
        <v>231</v>
      </c>
      <c r="AB232" s="8">
        <v>0.59781273826877401</v>
      </c>
    </row>
    <row r="233" spans="1:28" ht="32" x14ac:dyDescent="0.2">
      <c r="A233" s="10" t="s">
        <v>395</v>
      </c>
      <c r="B233" s="39">
        <v>80</v>
      </c>
      <c r="C233" s="13">
        <v>29</v>
      </c>
      <c r="AA233" s="8">
        <f t="shared" si="10"/>
        <v>232</v>
      </c>
      <c r="AB233" s="8">
        <v>0.59781273826877401</v>
      </c>
    </row>
    <row r="234" spans="1:28" ht="64" x14ac:dyDescent="0.2">
      <c r="A234" s="10" t="s">
        <v>397</v>
      </c>
      <c r="B234" s="39">
        <v>1381.59</v>
      </c>
      <c r="C234" s="13">
        <v>29</v>
      </c>
      <c r="AA234" s="8">
        <f t="shared" si="10"/>
        <v>233</v>
      </c>
      <c r="AB234" s="8">
        <v>0.59781273826877401</v>
      </c>
    </row>
    <row r="235" spans="1:28" ht="48" x14ac:dyDescent="0.2">
      <c r="A235" s="10" t="s">
        <v>398</v>
      </c>
      <c r="B235" s="39">
        <v>263.89999999999998</v>
      </c>
      <c r="C235" s="13">
        <v>29</v>
      </c>
      <c r="AA235" s="8">
        <f t="shared" si="10"/>
        <v>234</v>
      </c>
      <c r="AB235" s="8">
        <v>0.59781273826877401</v>
      </c>
    </row>
    <row r="236" spans="1:28" ht="32" x14ac:dyDescent="0.2">
      <c r="A236" s="10" t="s">
        <v>399</v>
      </c>
      <c r="B236" s="39">
        <v>62.72</v>
      </c>
      <c r="C236" s="13">
        <v>29</v>
      </c>
      <c r="AA236" s="8">
        <f t="shared" si="10"/>
        <v>235</v>
      </c>
      <c r="AB236" s="8">
        <v>0.59781273826877401</v>
      </c>
    </row>
    <row r="237" spans="1:28" ht="32" x14ac:dyDescent="0.2">
      <c r="A237" s="10" t="s">
        <v>400</v>
      </c>
      <c r="B237" s="39">
        <v>29.04</v>
      </c>
      <c r="C237" s="13">
        <v>29</v>
      </c>
      <c r="AA237" s="8">
        <f t="shared" si="10"/>
        <v>236</v>
      </c>
      <c r="AB237" s="8">
        <v>0.59781273826877401</v>
      </c>
    </row>
    <row r="238" spans="1:28" ht="64" x14ac:dyDescent="0.2">
      <c r="A238" s="10" t="s">
        <v>401</v>
      </c>
      <c r="B238" s="39">
        <v>2894.76</v>
      </c>
      <c r="C238" s="13">
        <v>29</v>
      </c>
      <c r="AA238" s="8">
        <f t="shared" si="10"/>
        <v>237</v>
      </c>
      <c r="AB238" s="8">
        <v>0.59781273826877401</v>
      </c>
    </row>
    <row r="239" spans="1:28" ht="48" x14ac:dyDescent="0.2">
      <c r="A239" s="10" t="s">
        <v>402</v>
      </c>
      <c r="B239" s="39">
        <v>65.45</v>
      </c>
      <c r="C239" s="13">
        <v>29</v>
      </c>
      <c r="AA239" s="8">
        <f t="shared" si="10"/>
        <v>238</v>
      </c>
      <c r="AB239" s="8">
        <v>0.59781273826877401</v>
      </c>
    </row>
    <row r="240" spans="1:28" ht="48" x14ac:dyDescent="0.2">
      <c r="A240" s="10" t="s">
        <v>403</v>
      </c>
      <c r="B240" s="39">
        <v>65.45</v>
      </c>
      <c r="C240" s="13">
        <v>29</v>
      </c>
      <c r="AA240" s="8">
        <f t="shared" si="10"/>
        <v>239</v>
      </c>
      <c r="AB240" s="8">
        <v>0.59781273826877401</v>
      </c>
    </row>
    <row r="241" spans="1:28" ht="32" x14ac:dyDescent="0.2">
      <c r="A241" s="10" t="s">
        <v>404</v>
      </c>
      <c r="B241" s="39">
        <v>261.8</v>
      </c>
      <c r="C241" s="13">
        <v>29</v>
      </c>
      <c r="AA241" s="8">
        <f t="shared" si="10"/>
        <v>240</v>
      </c>
      <c r="AB241" s="8">
        <v>0.59781273826877401</v>
      </c>
    </row>
    <row r="242" spans="1:28" ht="48" x14ac:dyDescent="0.2">
      <c r="A242" s="10" t="s">
        <v>567</v>
      </c>
      <c r="B242" s="39">
        <v>4826.5200000000004</v>
      </c>
      <c r="C242" s="13">
        <v>29</v>
      </c>
      <c r="AA242" s="8">
        <f t="shared" si="10"/>
        <v>241</v>
      </c>
      <c r="AB242" s="8">
        <v>0.59781273826877401</v>
      </c>
    </row>
    <row r="243" spans="1:28" ht="48" x14ac:dyDescent="0.2">
      <c r="A243" s="10" t="s">
        <v>568</v>
      </c>
      <c r="B243" s="39">
        <v>19.62</v>
      </c>
      <c r="C243" s="13">
        <v>29</v>
      </c>
      <c r="AA243" s="8">
        <f t="shared" si="10"/>
        <v>242</v>
      </c>
      <c r="AB243" s="8">
        <v>0.59781273826877401</v>
      </c>
    </row>
    <row r="244" spans="1:28" ht="112" x14ac:dyDescent="0.2">
      <c r="A244" s="10" t="s">
        <v>279</v>
      </c>
      <c r="B244" s="39">
        <v>3564</v>
      </c>
      <c r="C244" s="13">
        <v>30</v>
      </c>
      <c r="AA244" s="8">
        <f t="shared" si="10"/>
        <v>243</v>
      </c>
      <c r="AB244" s="8">
        <v>0.59781273826877401</v>
      </c>
    </row>
    <row r="245" spans="1:28" ht="112" x14ac:dyDescent="0.2">
      <c r="A245" s="10" t="s">
        <v>280</v>
      </c>
      <c r="B245" s="39">
        <v>2592</v>
      </c>
      <c r="C245" s="13">
        <v>30</v>
      </c>
      <c r="AA245" s="8">
        <f t="shared" si="10"/>
        <v>244</v>
      </c>
      <c r="AB245" s="8">
        <v>0.59781273826877401</v>
      </c>
    </row>
    <row r="246" spans="1:28" ht="80" x14ac:dyDescent="0.2">
      <c r="A246" s="10" t="s">
        <v>281</v>
      </c>
      <c r="B246" s="39">
        <v>1260</v>
      </c>
      <c r="C246" s="13">
        <v>30</v>
      </c>
      <c r="AA246" s="8">
        <f t="shared" si="10"/>
        <v>245</v>
      </c>
      <c r="AB246" s="8">
        <v>0.59781273826877401</v>
      </c>
    </row>
    <row r="247" spans="1:28" ht="64" x14ac:dyDescent="0.2">
      <c r="A247" s="10" t="s">
        <v>282</v>
      </c>
      <c r="B247" s="39">
        <v>1320</v>
      </c>
      <c r="C247" s="13">
        <v>30</v>
      </c>
      <c r="AA247" s="8">
        <f t="shared" si="10"/>
        <v>246</v>
      </c>
      <c r="AB247" s="8">
        <v>0.59781273826877401</v>
      </c>
    </row>
    <row r="248" spans="1:28" ht="64" x14ac:dyDescent="0.2">
      <c r="A248" s="10" t="s">
        <v>283</v>
      </c>
      <c r="B248" s="39">
        <v>270</v>
      </c>
      <c r="C248" s="13">
        <v>30</v>
      </c>
      <c r="AA248" s="8">
        <f t="shared" si="10"/>
        <v>247</v>
      </c>
      <c r="AB248" s="8">
        <v>0.59781273826877401</v>
      </c>
    </row>
    <row r="249" spans="1:28" ht="64" x14ac:dyDescent="0.2">
      <c r="A249" s="10" t="s">
        <v>464</v>
      </c>
      <c r="B249" s="39">
        <v>5551.72</v>
      </c>
      <c r="C249" s="13">
        <v>30</v>
      </c>
      <c r="AA249" s="8">
        <f t="shared" si="10"/>
        <v>248</v>
      </c>
      <c r="AB249" s="8">
        <v>0.59781273826877401</v>
      </c>
    </row>
    <row r="250" spans="1:28" ht="64" x14ac:dyDescent="0.2">
      <c r="A250" s="10" t="s">
        <v>465</v>
      </c>
      <c r="B250" s="39">
        <v>7155.32</v>
      </c>
      <c r="C250" s="13">
        <v>30</v>
      </c>
      <c r="AA250" s="8">
        <f t="shared" si="10"/>
        <v>249</v>
      </c>
      <c r="AB250" s="8">
        <v>0.59781273826877401</v>
      </c>
    </row>
    <row r="251" spans="1:28" ht="48" x14ac:dyDescent="0.2">
      <c r="A251" s="10" t="s">
        <v>466</v>
      </c>
      <c r="B251" s="39">
        <v>2835.32</v>
      </c>
      <c r="C251" s="13">
        <v>30</v>
      </c>
      <c r="AA251" s="8">
        <f t="shared" si="10"/>
        <v>250</v>
      </c>
      <c r="AB251" s="8">
        <v>0.59781273826877401</v>
      </c>
    </row>
    <row r="252" spans="1:28" ht="48" x14ac:dyDescent="0.2">
      <c r="A252" s="10" t="s">
        <v>467</v>
      </c>
      <c r="B252" s="39">
        <v>1500</v>
      </c>
      <c r="C252" s="13">
        <v>30</v>
      </c>
      <c r="AA252" s="8">
        <f t="shared" si="10"/>
        <v>251</v>
      </c>
      <c r="AB252" s="8">
        <v>0.59781273826877401</v>
      </c>
    </row>
    <row r="253" spans="1:28" ht="64" x14ac:dyDescent="0.2">
      <c r="A253" s="10" t="s">
        <v>468</v>
      </c>
      <c r="B253" s="39">
        <v>4780</v>
      </c>
      <c r="C253" s="13">
        <v>30</v>
      </c>
      <c r="AA253" s="8">
        <f t="shared" si="10"/>
        <v>252</v>
      </c>
      <c r="AB253" s="8">
        <v>0.59781273826877401</v>
      </c>
    </row>
    <row r="254" spans="1:28" ht="32" x14ac:dyDescent="0.2">
      <c r="A254" s="10" t="s">
        <v>469</v>
      </c>
      <c r="B254" s="39">
        <v>1094</v>
      </c>
      <c r="C254" s="13">
        <v>30</v>
      </c>
      <c r="AA254" s="8">
        <f t="shared" si="10"/>
        <v>253</v>
      </c>
      <c r="AB254" s="8">
        <v>0.59781273826877401</v>
      </c>
    </row>
    <row r="255" spans="1:28" ht="48" x14ac:dyDescent="0.2">
      <c r="A255" s="10" t="s">
        <v>637</v>
      </c>
      <c r="B255" s="39">
        <v>74724.240000000005</v>
      </c>
      <c r="C255" s="13">
        <v>30</v>
      </c>
      <c r="AA255" s="8">
        <f t="shared" si="10"/>
        <v>254</v>
      </c>
      <c r="AB255" s="8">
        <v>0.59781273826877401</v>
      </c>
    </row>
    <row r="256" spans="1:28" ht="48" x14ac:dyDescent="0.2">
      <c r="A256" s="10" t="s">
        <v>651</v>
      </c>
      <c r="B256" s="39">
        <v>10000</v>
      </c>
      <c r="C256" s="13">
        <v>30</v>
      </c>
      <c r="AA256" s="8">
        <f t="shared" si="10"/>
        <v>255</v>
      </c>
      <c r="AB256" s="8">
        <v>0.59781273826877401</v>
      </c>
    </row>
    <row r="257" spans="1:28" ht="28" x14ac:dyDescent="0.2">
      <c r="A257" s="21" t="s">
        <v>868</v>
      </c>
      <c r="B257" s="39">
        <v>300</v>
      </c>
      <c r="C257" s="13">
        <v>30</v>
      </c>
      <c r="AA257" s="8">
        <f t="shared" si="10"/>
        <v>256</v>
      </c>
      <c r="AB257" s="8">
        <v>0.59781273826877401</v>
      </c>
    </row>
    <row r="258" spans="1:28" ht="80" x14ac:dyDescent="0.2">
      <c r="A258" s="10" t="s">
        <v>453</v>
      </c>
      <c r="B258" s="39">
        <v>1183.1500000000001</v>
      </c>
      <c r="C258" s="13">
        <v>32</v>
      </c>
      <c r="AA258" s="8">
        <f t="shared" si="10"/>
        <v>257</v>
      </c>
      <c r="AB258" s="8">
        <v>0.59781273826877401</v>
      </c>
    </row>
    <row r="259" spans="1:28" ht="64" x14ac:dyDescent="0.2">
      <c r="A259" s="10" t="s">
        <v>454</v>
      </c>
      <c r="B259" s="39">
        <v>1183.1500000000001</v>
      </c>
      <c r="C259" s="13">
        <v>32</v>
      </c>
      <c r="AA259" s="8">
        <f t="shared" si="10"/>
        <v>258</v>
      </c>
      <c r="AB259" s="8">
        <v>0.59781273826877401</v>
      </c>
    </row>
    <row r="260" spans="1:28" ht="80" x14ac:dyDescent="0.2">
      <c r="A260" s="10" t="s">
        <v>455</v>
      </c>
      <c r="B260" s="39">
        <v>2366.3000000000002</v>
      </c>
      <c r="C260" s="13">
        <v>32</v>
      </c>
      <c r="AA260" s="8">
        <f t="shared" ref="AA260:AA323" si="11">AA259+1</f>
        <v>259</v>
      </c>
      <c r="AB260" s="8">
        <v>0.59781273826877401</v>
      </c>
    </row>
    <row r="261" spans="1:28" ht="96" x14ac:dyDescent="0.2">
      <c r="A261" s="10" t="s">
        <v>456</v>
      </c>
      <c r="B261" s="39">
        <v>7751.88</v>
      </c>
      <c r="C261" s="13">
        <v>32</v>
      </c>
      <c r="AA261" s="8">
        <f t="shared" si="11"/>
        <v>260</v>
      </c>
      <c r="AB261" s="8">
        <v>0.59781273826877401</v>
      </c>
    </row>
    <row r="262" spans="1:28" ht="48" x14ac:dyDescent="0.2">
      <c r="A262" s="10" t="s">
        <v>259</v>
      </c>
      <c r="B262" s="39">
        <v>460</v>
      </c>
      <c r="C262" s="13">
        <v>34</v>
      </c>
      <c r="AA262" s="8">
        <f t="shared" si="11"/>
        <v>261</v>
      </c>
      <c r="AB262" s="8">
        <v>0.59781273826877401</v>
      </c>
    </row>
    <row r="263" spans="1:28" ht="32" x14ac:dyDescent="0.2">
      <c r="A263" s="10" t="s">
        <v>39</v>
      </c>
      <c r="B263" s="39">
        <v>1910.64</v>
      </c>
      <c r="C263" s="13">
        <v>34</v>
      </c>
      <c r="AA263" s="8">
        <f t="shared" si="11"/>
        <v>262</v>
      </c>
      <c r="AB263" s="8">
        <v>0.59781273826877401</v>
      </c>
    </row>
    <row r="264" spans="1:28" ht="32" x14ac:dyDescent="0.2">
      <c r="A264" s="10" t="s">
        <v>260</v>
      </c>
      <c r="B264" s="39">
        <v>500</v>
      </c>
      <c r="C264" s="13">
        <v>34</v>
      </c>
      <c r="AA264" s="8">
        <f t="shared" si="11"/>
        <v>263</v>
      </c>
      <c r="AB264" s="8">
        <v>0.59781273826877401</v>
      </c>
    </row>
    <row r="265" spans="1:28" ht="176" x14ac:dyDescent="0.2">
      <c r="A265" s="10" t="s">
        <v>420</v>
      </c>
      <c r="B265" s="39">
        <v>60027</v>
      </c>
      <c r="C265" s="13">
        <v>34</v>
      </c>
      <c r="AA265" s="8">
        <f t="shared" si="11"/>
        <v>264</v>
      </c>
      <c r="AB265" s="8">
        <v>0.59781273826877401</v>
      </c>
    </row>
    <row r="266" spans="1:28" ht="160" x14ac:dyDescent="0.2">
      <c r="A266" s="10" t="s">
        <v>421</v>
      </c>
      <c r="B266" s="39">
        <v>35</v>
      </c>
      <c r="C266" s="13">
        <v>34</v>
      </c>
      <c r="AA266" s="8">
        <f t="shared" si="11"/>
        <v>265</v>
      </c>
      <c r="AB266" s="8">
        <v>0.59781273826877401</v>
      </c>
    </row>
    <row r="267" spans="1:28" ht="176" x14ac:dyDescent="0.2">
      <c r="A267" s="10" t="s">
        <v>422</v>
      </c>
      <c r="B267" s="39">
        <v>70</v>
      </c>
      <c r="C267" s="13">
        <v>34</v>
      </c>
      <c r="AA267" s="8">
        <f t="shared" si="11"/>
        <v>266</v>
      </c>
      <c r="AB267" s="8">
        <v>0.59781273826877401</v>
      </c>
    </row>
    <row r="268" spans="1:28" ht="176" x14ac:dyDescent="0.2">
      <c r="A268" s="10" t="s">
        <v>423</v>
      </c>
      <c r="B268" s="39">
        <v>210</v>
      </c>
      <c r="C268" s="13">
        <v>34</v>
      </c>
      <c r="AA268" s="8">
        <f t="shared" si="11"/>
        <v>267</v>
      </c>
      <c r="AB268" s="8">
        <v>0.59781273826877401</v>
      </c>
    </row>
    <row r="269" spans="1:28" ht="176" x14ac:dyDescent="0.2">
      <c r="A269" s="10" t="s">
        <v>424</v>
      </c>
      <c r="B269" s="39">
        <v>105</v>
      </c>
      <c r="C269" s="13">
        <v>34</v>
      </c>
      <c r="AA269" s="8">
        <f t="shared" si="11"/>
        <v>268</v>
      </c>
      <c r="AB269" s="8">
        <v>0.59781273826877401</v>
      </c>
    </row>
    <row r="270" spans="1:28" ht="160" x14ac:dyDescent="0.2">
      <c r="A270" s="10" t="s">
        <v>425</v>
      </c>
      <c r="B270" s="39">
        <v>35</v>
      </c>
      <c r="C270" s="13">
        <v>34</v>
      </c>
      <c r="AA270" s="8">
        <f t="shared" si="11"/>
        <v>269</v>
      </c>
      <c r="AB270" s="8">
        <v>0.59781273826877401</v>
      </c>
    </row>
    <row r="271" spans="1:28" ht="176" x14ac:dyDescent="0.2">
      <c r="A271" s="10" t="s">
        <v>426</v>
      </c>
      <c r="B271" s="39">
        <v>35</v>
      </c>
      <c r="C271" s="13">
        <v>34</v>
      </c>
      <c r="AA271" s="8">
        <f t="shared" si="11"/>
        <v>270</v>
      </c>
      <c r="AB271" s="8">
        <v>0.59781273826877401</v>
      </c>
    </row>
    <row r="272" spans="1:28" ht="176" x14ac:dyDescent="0.2">
      <c r="A272" s="10" t="s">
        <v>427</v>
      </c>
      <c r="B272" s="39">
        <v>35</v>
      </c>
      <c r="C272" s="13">
        <v>34</v>
      </c>
      <c r="AA272" s="8">
        <f t="shared" si="11"/>
        <v>271</v>
      </c>
      <c r="AB272" s="8">
        <v>0.59781273826877401</v>
      </c>
    </row>
    <row r="273" spans="1:28" ht="176" x14ac:dyDescent="0.2">
      <c r="A273" s="10" t="s">
        <v>428</v>
      </c>
      <c r="B273" s="39">
        <v>38</v>
      </c>
      <c r="C273" s="13">
        <v>34</v>
      </c>
      <c r="AA273" s="8">
        <f t="shared" si="11"/>
        <v>272</v>
      </c>
      <c r="AB273" s="8">
        <v>0.59781273826877401</v>
      </c>
    </row>
    <row r="274" spans="1:28" ht="176" x14ac:dyDescent="0.2">
      <c r="A274" s="10" t="s">
        <v>429</v>
      </c>
      <c r="B274" s="39">
        <v>114</v>
      </c>
      <c r="C274" s="13">
        <v>34</v>
      </c>
      <c r="AA274" s="8">
        <f t="shared" si="11"/>
        <v>273</v>
      </c>
      <c r="AB274" s="8">
        <v>0.59781273826877401</v>
      </c>
    </row>
    <row r="275" spans="1:28" ht="176" x14ac:dyDescent="0.2">
      <c r="A275" s="10" t="s">
        <v>430</v>
      </c>
      <c r="B275" s="39">
        <v>38</v>
      </c>
      <c r="C275" s="13">
        <v>34</v>
      </c>
      <c r="AA275" s="8">
        <f t="shared" si="11"/>
        <v>274</v>
      </c>
      <c r="AB275" s="8">
        <v>0.59781273826877401</v>
      </c>
    </row>
    <row r="276" spans="1:28" ht="176" x14ac:dyDescent="0.2">
      <c r="A276" s="10" t="s">
        <v>431</v>
      </c>
      <c r="B276" s="39">
        <v>38</v>
      </c>
      <c r="C276" s="13">
        <v>34</v>
      </c>
      <c r="AA276" s="8">
        <f t="shared" si="11"/>
        <v>275</v>
      </c>
      <c r="AB276" s="8">
        <v>0.59781273826877401</v>
      </c>
    </row>
    <row r="277" spans="1:28" ht="176" x14ac:dyDescent="0.2">
      <c r="A277" s="10" t="s">
        <v>432</v>
      </c>
      <c r="B277" s="39">
        <v>114</v>
      </c>
      <c r="C277" s="13">
        <v>34</v>
      </c>
      <c r="AA277" s="8">
        <f t="shared" si="11"/>
        <v>276</v>
      </c>
      <c r="AB277" s="8">
        <v>0.59781273826877401</v>
      </c>
    </row>
    <row r="278" spans="1:28" ht="176" x14ac:dyDescent="0.2">
      <c r="A278" s="10" t="s">
        <v>433</v>
      </c>
      <c r="B278" s="39">
        <v>38</v>
      </c>
      <c r="C278" s="13">
        <v>34</v>
      </c>
      <c r="AA278" s="8">
        <f t="shared" si="11"/>
        <v>277</v>
      </c>
      <c r="AB278" s="8">
        <v>0.59781273826877401</v>
      </c>
    </row>
    <row r="279" spans="1:28" ht="176" x14ac:dyDescent="0.2">
      <c r="A279" s="10" t="s">
        <v>434</v>
      </c>
      <c r="B279" s="39">
        <v>38</v>
      </c>
      <c r="C279" s="13">
        <v>34</v>
      </c>
      <c r="AA279" s="8">
        <f t="shared" si="11"/>
        <v>278</v>
      </c>
      <c r="AB279" s="8">
        <v>0.59781273826877401</v>
      </c>
    </row>
    <row r="280" spans="1:28" ht="176" x14ac:dyDescent="0.2">
      <c r="A280" s="10" t="s">
        <v>435</v>
      </c>
      <c r="B280" s="39">
        <v>35</v>
      </c>
      <c r="C280" s="13">
        <v>34</v>
      </c>
      <c r="AA280" s="8">
        <f t="shared" si="11"/>
        <v>279</v>
      </c>
      <c r="AB280" s="8">
        <v>0.59781273826877401</v>
      </c>
    </row>
    <row r="281" spans="1:28" ht="176" x14ac:dyDescent="0.2">
      <c r="A281" s="10" t="s">
        <v>436</v>
      </c>
      <c r="B281" s="39">
        <v>76</v>
      </c>
      <c r="C281" s="13">
        <v>34</v>
      </c>
      <c r="AA281" s="8">
        <f t="shared" si="11"/>
        <v>280</v>
      </c>
      <c r="AB281" s="8">
        <v>0.59781273826877401</v>
      </c>
    </row>
    <row r="282" spans="1:28" ht="64" x14ac:dyDescent="0.2">
      <c r="A282" s="10" t="s">
        <v>437</v>
      </c>
      <c r="B282" s="39">
        <v>342</v>
      </c>
      <c r="C282" s="13">
        <v>34</v>
      </c>
      <c r="AA282" s="8">
        <f t="shared" si="11"/>
        <v>281</v>
      </c>
      <c r="AB282" s="8">
        <v>0.59781273826877401</v>
      </c>
    </row>
    <row r="283" spans="1:28" ht="64" x14ac:dyDescent="0.2">
      <c r="A283" s="10" t="s">
        <v>438</v>
      </c>
      <c r="B283" s="39">
        <v>228</v>
      </c>
      <c r="C283" s="13">
        <v>34</v>
      </c>
      <c r="AA283" s="8">
        <f t="shared" si="11"/>
        <v>282</v>
      </c>
      <c r="AB283" s="8">
        <v>0.59781273826877401</v>
      </c>
    </row>
    <row r="284" spans="1:28" ht="80" x14ac:dyDescent="0.2">
      <c r="A284" s="10" t="s">
        <v>439</v>
      </c>
      <c r="B284" s="39">
        <v>304</v>
      </c>
      <c r="C284" s="13">
        <v>34</v>
      </c>
      <c r="AA284" s="8">
        <f t="shared" si="11"/>
        <v>283</v>
      </c>
      <c r="AB284" s="8">
        <v>0.59781273826877401</v>
      </c>
    </row>
    <row r="285" spans="1:28" ht="48" x14ac:dyDescent="0.2">
      <c r="A285" s="10" t="s">
        <v>440</v>
      </c>
      <c r="B285" s="39">
        <v>38</v>
      </c>
      <c r="C285" s="13">
        <v>34</v>
      </c>
      <c r="AA285" s="8">
        <f t="shared" si="11"/>
        <v>284</v>
      </c>
      <c r="AB285" s="8">
        <v>0.59781273826877401</v>
      </c>
    </row>
    <row r="286" spans="1:28" ht="64" x14ac:dyDescent="0.2">
      <c r="A286" s="10" t="s">
        <v>441</v>
      </c>
      <c r="B286" s="39">
        <v>76</v>
      </c>
      <c r="C286" s="13">
        <v>34</v>
      </c>
      <c r="AA286" s="8">
        <f t="shared" si="11"/>
        <v>285</v>
      </c>
      <c r="AB286" s="8">
        <v>0.59781273826877401</v>
      </c>
    </row>
    <row r="287" spans="1:28" ht="48" x14ac:dyDescent="0.2">
      <c r="A287" s="10" t="s">
        <v>442</v>
      </c>
      <c r="B287" s="39">
        <v>38</v>
      </c>
      <c r="C287" s="13">
        <v>34</v>
      </c>
      <c r="AA287" s="8">
        <f t="shared" si="11"/>
        <v>286</v>
      </c>
      <c r="AB287" s="8">
        <v>0.59781273826877401</v>
      </c>
    </row>
    <row r="288" spans="1:28" ht="64" x14ac:dyDescent="0.2">
      <c r="A288" s="10" t="s">
        <v>443</v>
      </c>
      <c r="B288" s="39">
        <v>38</v>
      </c>
      <c r="C288" s="13">
        <v>34</v>
      </c>
      <c r="AA288" s="8">
        <f t="shared" si="11"/>
        <v>287</v>
      </c>
      <c r="AB288" s="8">
        <v>0.59781273826877401</v>
      </c>
    </row>
    <row r="289" spans="1:28" ht="64" x14ac:dyDescent="0.2">
      <c r="A289" s="10" t="s">
        <v>444</v>
      </c>
      <c r="B289" s="39">
        <v>38</v>
      </c>
      <c r="C289" s="13">
        <v>34</v>
      </c>
      <c r="AA289" s="8">
        <f t="shared" si="11"/>
        <v>288</v>
      </c>
      <c r="AB289" s="8">
        <v>0.59781273826877401</v>
      </c>
    </row>
    <row r="290" spans="1:28" ht="48" x14ac:dyDescent="0.2">
      <c r="A290" s="10" t="s">
        <v>445</v>
      </c>
      <c r="B290" s="39">
        <v>38</v>
      </c>
      <c r="C290" s="13">
        <v>34</v>
      </c>
      <c r="AA290" s="8">
        <f t="shared" si="11"/>
        <v>289</v>
      </c>
      <c r="AB290" s="8">
        <v>0.59781273826877401</v>
      </c>
    </row>
    <row r="291" spans="1:28" ht="48" x14ac:dyDescent="0.2">
      <c r="A291" s="10" t="s">
        <v>446</v>
      </c>
      <c r="B291" s="39">
        <v>38</v>
      </c>
      <c r="C291" s="13">
        <v>34</v>
      </c>
      <c r="AA291" s="8">
        <f t="shared" si="11"/>
        <v>290</v>
      </c>
      <c r="AB291" s="8">
        <v>0.59781273826877401</v>
      </c>
    </row>
    <row r="292" spans="1:28" ht="64" x14ac:dyDescent="0.2">
      <c r="A292" s="10" t="s">
        <v>447</v>
      </c>
      <c r="B292" s="39">
        <v>114</v>
      </c>
      <c r="C292" s="13">
        <v>34</v>
      </c>
      <c r="AA292" s="8">
        <f t="shared" si="11"/>
        <v>291</v>
      </c>
      <c r="AB292" s="8">
        <v>0.59781273826877401</v>
      </c>
    </row>
    <row r="293" spans="1:28" ht="48" x14ac:dyDescent="0.2">
      <c r="A293" s="10" t="s">
        <v>448</v>
      </c>
      <c r="B293" s="39">
        <v>38</v>
      </c>
      <c r="C293" s="13">
        <v>34</v>
      </c>
      <c r="AA293" s="8">
        <f t="shared" si="11"/>
        <v>292</v>
      </c>
      <c r="AB293" s="8">
        <v>0.59781273826877401</v>
      </c>
    </row>
    <row r="294" spans="1:28" ht="48" x14ac:dyDescent="0.2">
      <c r="A294" s="10" t="s">
        <v>709</v>
      </c>
      <c r="B294" s="39">
        <v>47587.41</v>
      </c>
      <c r="C294" s="13">
        <v>34</v>
      </c>
      <c r="AA294" s="8">
        <f t="shared" si="11"/>
        <v>293</v>
      </c>
      <c r="AB294" s="8">
        <v>0.59781273826877401</v>
      </c>
    </row>
    <row r="295" spans="1:28" ht="32" x14ac:dyDescent="0.2">
      <c r="A295" s="10" t="s">
        <v>710</v>
      </c>
      <c r="B295" s="39">
        <v>1830.6</v>
      </c>
      <c r="C295" s="13">
        <v>34</v>
      </c>
      <c r="AA295" s="8">
        <f t="shared" si="11"/>
        <v>294</v>
      </c>
      <c r="AB295" s="8">
        <v>0.59781273826877401</v>
      </c>
    </row>
    <row r="296" spans="1:28" ht="48" x14ac:dyDescent="0.2">
      <c r="A296" s="10" t="s">
        <v>709</v>
      </c>
      <c r="B296" s="39">
        <v>5049.8500000000004</v>
      </c>
      <c r="C296" s="13">
        <v>34</v>
      </c>
      <c r="AA296" s="8">
        <f t="shared" si="11"/>
        <v>295</v>
      </c>
      <c r="AB296" s="8">
        <v>0.59781273826877401</v>
      </c>
    </row>
    <row r="297" spans="1:28" ht="64" x14ac:dyDescent="0.2">
      <c r="A297" s="10" t="s">
        <v>712</v>
      </c>
      <c r="B297" s="39">
        <v>1361.08</v>
      </c>
      <c r="C297" s="13">
        <v>34</v>
      </c>
      <c r="AA297" s="8">
        <f t="shared" si="11"/>
        <v>296</v>
      </c>
      <c r="AB297" s="8">
        <v>0.59781273826877401</v>
      </c>
    </row>
    <row r="298" spans="1:28" ht="64" x14ac:dyDescent="0.2">
      <c r="A298" s="10" t="s">
        <v>713</v>
      </c>
      <c r="B298" s="39">
        <v>4423.51</v>
      </c>
      <c r="C298" s="13">
        <v>34</v>
      </c>
      <c r="AA298" s="8">
        <f t="shared" si="11"/>
        <v>297</v>
      </c>
      <c r="AB298" s="8">
        <v>0.59781273826877401</v>
      </c>
    </row>
    <row r="299" spans="1:28" ht="64" x14ac:dyDescent="0.2">
      <c r="A299" s="10" t="s">
        <v>714</v>
      </c>
      <c r="B299" s="39">
        <v>3111.04</v>
      </c>
      <c r="C299" s="13">
        <v>34</v>
      </c>
      <c r="AA299" s="8">
        <f t="shared" si="11"/>
        <v>298</v>
      </c>
      <c r="AB299" s="8">
        <v>0.59781273826877401</v>
      </c>
    </row>
    <row r="300" spans="1:28" ht="32" x14ac:dyDescent="0.2">
      <c r="A300" s="10" t="s">
        <v>715</v>
      </c>
      <c r="B300" s="39">
        <v>248.46</v>
      </c>
      <c r="C300" s="13">
        <v>34</v>
      </c>
      <c r="AA300" s="8">
        <f t="shared" si="11"/>
        <v>299</v>
      </c>
      <c r="AB300" s="8">
        <v>0.59781273826877401</v>
      </c>
    </row>
    <row r="301" spans="1:28" ht="32" x14ac:dyDescent="0.2">
      <c r="A301" s="10" t="s">
        <v>716</v>
      </c>
      <c r="B301" s="39">
        <v>297.07</v>
      </c>
      <c r="C301" s="13">
        <v>34</v>
      </c>
      <c r="AA301" s="8">
        <f t="shared" si="11"/>
        <v>300</v>
      </c>
      <c r="AB301" s="8">
        <v>0.59781273826877401</v>
      </c>
    </row>
    <row r="302" spans="1:28" ht="32" x14ac:dyDescent="0.2">
      <c r="A302" s="10" t="s">
        <v>717</v>
      </c>
      <c r="B302" s="39">
        <v>621.14</v>
      </c>
      <c r="C302" s="13">
        <v>34</v>
      </c>
      <c r="AA302" s="8">
        <f t="shared" si="11"/>
        <v>301</v>
      </c>
      <c r="AB302" s="8">
        <v>0.59781273826877401</v>
      </c>
    </row>
    <row r="303" spans="1:28" ht="32" x14ac:dyDescent="0.2">
      <c r="A303" s="10" t="s">
        <v>449</v>
      </c>
      <c r="B303" s="39">
        <v>1755</v>
      </c>
      <c r="C303" s="13">
        <v>35</v>
      </c>
      <c r="AA303" s="8">
        <f t="shared" si="11"/>
        <v>302</v>
      </c>
      <c r="AB303" s="8">
        <v>0.59781273826877401</v>
      </c>
    </row>
    <row r="304" spans="1:28" ht="32" x14ac:dyDescent="0.2">
      <c r="A304" s="10" t="s">
        <v>450</v>
      </c>
      <c r="B304" s="39">
        <v>4140</v>
      </c>
      <c r="C304" s="13">
        <v>35</v>
      </c>
      <c r="AA304" s="8">
        <f t="shared" si="11"/>
        <v>303</v>
      </c>
      <c r="AB304" s="8">
        <v>0.59781273826877401</v>
      </c>
    </row>
    <row r="305" spans="1:28" ht="48" x14ac:dyDescent="0.2">
      <c r="A305" s="10" t="s">
        <v>451</v>
      </c>
      <c r="B305" s="39">
        <v>1438</v>
      </c>
      <c r="C305" s="13">
        <v>35</v>
      </c>
      <c r="AA305" s="8">
        <f t="shared" si="11"/>
        <v>304</v>
      </c>
      <c r="AB305" s="8">
        <v>0.59781273826877401</v>
      </c>
    </row>
    <row r="306" spans="1:28" ht="32" x14ac:dyDescent="0.2">
      <c r="A306" s="10" t="s">
        <v>452</v>
      </c>
      <c r="B306" s="39">
        <v>165</v>
      </c>
      <c r="C306" s="13">
        <v>35</v>
      </c>
      <c r="AA306" s="8">
        <f t="shared" si="11"/>
        <v>305</v>
      </c>
      <c r="AB306" s="8">
        <v>0.59781273826877401</v>
      </c>
    </row>
    <row r="307" spans="1:28" ht="32" x14ac:dyDescent="0.2">
      <c r="A307" s="10" t="s">
        <v>701</v>
      </c>
      <c r="B307" s="39">
        <v>1069.44</v>
      </c>
      <c r="C307" s="13">
        <v>35</v>
      </c>
      <c r="AA307" s="8">
        <f t="shared" si="11"/>
        <v>306</v>
      </c>
      <c r="AB307" s="8">
        <v>0.59781273826877401</v>
      </c>
    </row>
    <row r="308" spans="1:28" ht="32" x14ac:dyDescent="0.2">
      <c r="A308" s="10" t="s">
        <v>258</v>
      </c>
      <c r="B308" s="39">
        <v>1580</v>
      </c>
      <c r="C308" s="13">
        <v>36</v>
      </c>
      <c r="AA308" s="8">
        <f t="shared" si="11"/>
        <v>307</v>
      </c>
      <c r="AB308" s="8">
        <v>0.59781273826877401</v>
      </c>
    </row>
    <row r="309" spans="1:28" ht="64" x14ac:dyDescent="0.2">
      <c r="A309" s="10" t="s">
        <v>329</v>
      </c>
      <c r="B309" s="39">
        <v>242.04</v>
      </c>
      <c r="C309" s="13">
        <v>36</v>
      </c>
      <c r="AA309" s="8">
        <f t="shared" si="11"/>
        <v>308</v>
      </c>
      <c r="AB309" s="8">
        <v>0.59781273826877401</v>
      </c>
    </row>
    <row r="310" spans="1:28" ht="16" x14ac:dyDescent="0.2">
      <c r="A310" s="10" t="s">
        <v>584</v>
      </c>
      <c r="B310" s="39">
        <v>6762.34</v>
      </c>
      <c r="C310" s="13">
        <v>36</v>
      </c>
      <c r="AA310" s="8">
        <f t="shared" si="11"/>
        <v>309</v>
      </c>
      <c r="AB310" s="8">
        <v>0.59781273826877401</v>
      </c>
    </row>
    <row r="311" spans="1:28" ht="16" x14ac:dyDescent="0.2">
      <c r="A311" s="10" t="s">
        <v>585</v>
      </c>
      <c r="B311" s="39">
        <v>882.71</v>
      </c>
      <c r="C311" s="13">
        <v>36</v>
      </c>
      <c r="AA311" s="8">
        <f t="shared" si="11"/>
        <v>310</v>
      </c>
      <c r="AB311" s="8">
        <v>0.59781273826877401</v>
      </c>
    </row>
    <row r="312" spans="1:28" ht="32" x14ac:dyDescent="0.2">
      <c r="A312" s="10" t="s">
        <v>245</v>
      </c>
      <c r="B312" s="39">
        <v>161.1</v>
      </c>
      <c r="C312" s="13">
        <v>37</v>
      </c>
      <c r="AA312" s="8">
        <f t="shared" si="11"/>
        <v>311</v>
      </c>
      <c r="AB312" s="8">
        <v>0.59781273826877401</v>
      </c>
    </row>
    <row r="313" spans="1:28" ht="32" x14ac:dyDescent="0.2">
      <c r="A313" s="10" t="s">
        <v>246</v>
      </c>
      <c r="B313" s="39">
        <v>982.71</v>
      </c>
      <c r="C313" s="13">
        <v>37</v>
      </c>
      <c r="AA313" s="8">
        <f t="shared" si="11"/>
        <v>312</v>
      </c>
      <c r="AB313" s="8">
        <v>0.59781273826877401</v>
      </c>
    </row>
    <row r="314" spans="1:28" ht="48" x14ac:dyDescent="0.2">
      <c r="A314" s="10" t="s">
        <v>247</v>
      </c>
      <c r="B314" s="39">
        <v>53.7</v>
      </c>
      <c r="C314" s="13">
        <v>37</v>
      </c>
      <c r="AA314" s="8">
        <f t="shared" si="11"/>
        <v>313</v>
      </c>
      <c r="AB314" s="8">
        <v>0.59781273826877401</v>
      </c>
    </row>
    <row r="315" spans="1:28" ht="32" x14ac:dyDescent="0.2">
      <c r="A315" s="10" t="s">
        <v>248</v>
      </c>
      <c r="B315" s="39">
        <v>1383.34</v>
      </c>
      <c r="C315" s="13">
        <v>37</v>
      </c>
      <c r="AA315" s="8">
        <f t="shared" si="11"/>
        <v>314</v>
      </c>
      <c r="AB315" s="8">
        <v>0.59781273826877401</v>
      </c>
    </row>
    <row r="316" spans="1:28" ht="32" x14ac:dyDescent="0.2">
      <c r="A316" s="10" t="s">
        <v>249</v>
      </c>
      <c r="B316" s="39">
        <v>262.2</v>
      </c>
      <c r="C316" s="13">
        <v>37</v>
      </c>
      <c r="AA316" s="8">
        <f t="shared" si="11"/>
        <v>315</v>
      </c>
      <c r="AB316" s="8">
        <v>0.59781273826877401</v>
      </c>
    </row>
    <row r="317" spans="1:28" ht="32" x14ac:dyDescent="0.2">
      <c r="A317" s="10" t="s">
        <v>250</v>
      </c>
      <c r="B317" s="39">
        <v>3754.4</v>
      </c>
      <c r="C317" s="13">
        <v>37</v>
      </c>
      <c r="AA317" s="8">
        <f t="shared" si="11"/>
        <v>316</v>
      </c>
      <c r="AB317" s="8">
        <v>0.59781273826877401</v>
      </c>
    </row>
    <row r="318" spans="1:28" ht="48" x14ac:dyDescent="0.2">
      <c r="A318" s="10" t="s">
        <v>251</v>
      </c>
      <c r="B318" s="39">
        <v>1149.1199999999999</v>
      </c>
      <c r="C318" s="13">
        <v>37</v>
      </c>
      <c r="AA318" s="8">
        <f t="shared" si="11"/>
        <v>317</v>
      </c>
      <c r="AB318" s="8">
        <v>0.59781273826877401</v>
      </c>
    </row>
    <row r="319" spans="1:28" ht="96" x14ac:dyDescent="0.2">
      <c r="A319" s="10" t="s">
        <v>252</v>
      </c>
      <c r="B319" s="39">
        <v>3150</v>
      </c>
      <c r="C319" s="13">
        <v>37</v>
      </c>
      <c r="AA319" s="8">
        <f t="shared" si="11"/>
        <v>318</v>
      </c>
      <c r="AB319" s="8">
        <v>0.59781273826877401</v>
      </c>
    </row>
    <row r="320" spans="1:28" ht="96" x14ac:dyDescent="0.2">
      <c r="A320" s="10" t="s">
        <v>253</v>
      </c>
      <c r="B320" s="39">
        <v>280</v>
      </c>
      <c r="C320" s="13">
        <v>37</v>
      </c>
      <c r="AA320" s="8">
        <f t="shared" si="11"/>
        <v>319</v>
      </c>
      <c r="AB320" s="8">
        <v>0.59781273826877401</v>
      </c>
    </row>
    <row r="321" spans="1:28" ht="96" x14ac:dyDescent="0.2">
      <c r="A321" s="10" t="s">
        <v>385</v>
      </c>
      <c r="B321" s="39">
        <v>1600</v>
      </c>
      <c r="C321" s="13">
        <v>37</v>
      </c>
      <c r="AA321" s="8">
        <f t="shared" si="11"/>
        <v>320</v>
      </c>
      <c r="AB321" s="8">
        <v>0.59781273826877401</v>
      </c>
    </row>
    <row r="322" spans="1:28" ht="96" x14ac:dyDescent="0.2">
      <c r="A322" s="10" t="s">
        <v>386</v>
      </c>
      <c r="B322" s="39">
        <v>609.95000000000005</v>
      </c>
      <c r="C322" s="13">
        <v>37</v>
      </c>
      <c r="AA322" s="8">
        <f t="shared" si="11"/>
        <v>321</v>
      </c>
      <c r="AB322" s="8">
        <v>0.59781273826877401</v>
      </c>
    </row>
    <row r="323" spans="1:28" ht="96" x14ac:dyDescent="0.2">
      <c r="A323" s="10" t="s">
        <v>387</v>
      </c>
      <c r="B323" s="39">
        <v>1219.9000000000001</v>
      </c>
      <c r="C323" s="13">
        <v>37</v>
      </c>
      <c r="AA323" s="8">
        <f t="shared" si="11"/>
        <v>322</v>
      </c>
      <c r="AB323" s="8">
        <v>0.59781273826877401</v>
      </c>
    </row>
    <row r="324" spans="1:28" ht="96" x14ac:dyDescent="0.2">
      <c r="A324" s="10" t="s">
        <v>388</v>
      </c>
      <c r="B324" s="39">
        <v>609.95000000000005</v>
      </c>
      <c r="C324" s="13">
        <v>37</v>
      </c>
      <c r="AA324" s="8">
        <f t="shared" ref="AA324:AA387" si="12">AA323+1</f>
        <v>323</v>
      </c>
      <c r="AB324" s="8">
        <v>0.59781273826877401</v>
      </c>
    </row>
    <row r="325" spans="1:28" ht="96" x14ac:dyDescent="0.2">
      <c r="A325" s="10" t="s">
        <v>381</v>
      </c>
      <c r="B325" s="39">
        <v>3644.16</v>
      </c>
      <c r="C325" s="13">
        <v>38</v>
      </c>
      <c r="AA325" s="8">
        <f t="shared" si="12"/>
        <v>324</v>
      </c>
      <c r="AB325" s="8">
        <v>0.59781273826877401</v>
      </c>
    </row>
    <row r="326" spans="1:28" ht="64" x14ac:dyDescent="0.2">
      <c r="A326" s="10" t="s">
        <v>382</v>
      </c>
      <c r="B326" s="39">
        <v>829.4</v>
      </c>
      <c r="C326" s="13">
        <v>38</v>
      </c>
      <c r="AA326" s="8">
        <f t="shared" si="12"/>
        <v>325</v>
      </c>
      <c r="AB326" s="8">
        <v>0.59781273826877401</v>
      </c>
    </row>
    <row r="327" spans="1:28" ht="48" x14ac:dyDescent="0.2">
      <c r="A327" s="10" t="s">
        <v>383</v>
      </c>
      <c r="B327" s="39">
        <v>159.5</v>
      </c>
      <c r="C327" s="13">
        <v>38</v>
      </c>
      <c r="AA327" s="8">
        <f t="shared" si="12"/>
        <v>326</v>
      </c>
      <c r="AB327" s="8">
        <v>0.59781273826877401</v>
      </c>
    </row>
    <row r="328" spans="1:28" ht="32" x14ac:dyDescent="0.2">
      <c r="A328" s="10" t="s">
        <v>384</v>
      </c>
      <c r="B328" s="39">
        <v>1000</v>
      </c>
      <c r="C328" s="13">
        <v>38</v>
      </c>
      <c r="AA328" s="8">
        <f t="shared" si="12"/>
        <v>327</v>
      </c>
      <c r="AB328" s="8">
        <v>0.59781273826877401</v>
      </c>
    </row>
    <row r="329" spans="1:28" ht="48" x14ac:dyDescent="0.2">
      <c r="A329" s="10" t="s">
        <v>551</v>
      </c>
      <c r="B329" s="39">
        <v>18330</v>
      </c>
      <c r="C329" s="13">
        <v>38</v>
      </c>
      <c r="AA329" s="8">
        <f t="shared" si="12"/>
        <v>328</v>
      </c>
      <c r="AB329" s="8">
        <v>0.59781273826877401</v>
      </c>
    </row>
    <row r="330" spans="1:28" ht="48" x14ac:dyDescent="0.2">
      <c r="A330" s="10" t="s">
        <v>552</v>
      </c>
      <c r="B330" s="39">
        <v>1935</v>
      </c>
      <c r="C330" s="13">
        <v>38</v>
      </c>
      <c r="AA330" s="8">
        <f t="shared" si="12"/>
        <v>329</v>
      </c>
      <c r="AB330" s="8">
        <v>0.59781273826877401</v>
      </c>
    </row>
    <row r="331" spans="1:28" ht="32" x14ac:dyDescent="0.2">
      <c r="A331" s="10" t="s">
        <v>612</v>
      </c>
      <c r="B331" s="39">
        <v>4530</v>
      </c>
      <c r="C331" s="13">
        <v>38</v>
      </c>
      <c r="AA331" s="8">
        <f t="shared" si="12"/>
        <v>330</v>
      </c>
      <c r="AB331" s="8">
        <v>0.59781273826877401</v>
      </c>
    </row>
    <row r="332" spans="1:28" ht="32" x14ac:dyDescent="0.2">
      <c r="A332" s="10" t="s">
        <v>613</v>
      </c>
      <c r="B332" s="39">
        <v>1025</v>
      </c>
      <c r="C332" s="13">
        <v>38</v>
      </c>
      <c r="AA332" s="8">
        <f t="shared" si="12"/>
        <v>331</v>
      </c>
      <c r="AB332" s="8">
        <v>0.59781273826877401</v>
      </c>
    </row>
    <row r="333" spans="1:28" ht="64" x14ac:dyDescent="0.2">
      <c r="A333" s="10" t="s">
        <v>457</v>
      </c>
      <c r="B333" s="39">
        <v>95</v>
      </c>
      <c r="C333" s="13">
        <v>39</v>
      </c>
      <c r="AA333" s="8">
        <f t="shared" si="12"/>
        <v>332</v>
      </c>
      <c r="AB333" s="8">
        <v>0.59781273826877401</v>
      </c>
    </row>
    <row r="334" spans="1:28" ht="80" x14ac:dyDescent="0.2">
      <c r="A334" s="10" t="s">
        <v>458</v>
      </c>
      <c r="B334" s="39">
        <v>95</v>
      </c>
      <c r="C334" s="13">
        <v>39</v>
      </c>
      <c r="AA334" s="8">
        <f t="shared" si="12"/>
        <v>333</v>
      </c>
      <c r="AB334" s="8">
        <v>0.59781273826877401</v>
      </c>
    </row>
    <row r="335" spans="1:28" ht="64" x14ac:dyDescent="0.2">
      <c r="A335" s="10" t="s">
        <v>459</v>
      </c>
      <c r="B335" s="39">
        <v>95</v>
      </c>
      <c r="C335" s="13">
        <v>39</v>
      </c>
      <c r="AA335" s="8">
        <f t="shared" si="12"/>
        <v>334</v>
      </c>
      <c r="AB335" s="8">
        <v>0.59781273826877401</v>
      </c>
    </row>
    <row r="336" spans="1:28" ht="64" x14ac:dyDescent="0.2">
      <c r="A336" s="10" t="s">
        <v>460</v>
      </c>
      <c r="B336" s="39">
        <v>95</v>
      </c>
      <c r="C336" s="13">
        <v>39</v>
      </c>
      <c r="AA336" s="8">
        <f t="shared" si="12"/>
        <v>335</v>
      </c>
      <c r="AB336" s="8">
        <v>0.59781273826877401</v>
      </c>
    </row>
    <row r="337" spans="1:28" ht="80" x14ac:dyDescent="0.2">
      <c r="A337" s="10" t="s">
        <v>461</v>
      </c>
      <c r="B337" s="39">
        <v>95</v>
      </c>
      <c r="C337" s="13">
        <v>39</v>
      </c>
      <c r="AA337" s="8">
        <f t="shared" si="12"/>
        <v>336</v>
      </c>
      <c r="AB337" s="8">
        <v>0.59781273826877401</v>
      </c>
    </row>
    <row r="338" spans="1:28" ht="80" x14ac:dyDescent="0.2">
      <c r="A338" s="10" t="s">
        <v>462</v>
      </c>
      <c r="B338" s="39">
        <v>3194.75</v>
      </c>
      <c r="C338" s="13">
        <v>39</v>
      </c>
      <c r="AA338" s="8">
        <f t="shared" si="12"/>
        <v>337</v>
      </c>
      <c r="AB338" s="8">
        <v>0.59781273826877401</v>
      </c>
    </row>
    <row r="339" spans="1:28" ht="48" x14ac:dyDescent="0.2">
      <c r="A339" s="10" t="s">
        <v>463</v>
      </c>
      <c r="B339" s="39">
        <v>95</v>
      </c>
      <c r="C339" s="13">
        <v>39</v>
      </c>
      <c r="AA339" s="8">
        <f t="shared" si="12"/>
        <v>338</v>
      </c>
      <c r="AB339" s="8">
        <v>0.59781273826877401</v>
      </c>
    </row>
    <row r="340" spans="1:28" ht="48" x14ac:dyDescent="0.2">
      <c r="A340" s="10" t="s">
        <v>487</v>
      </c>
      <c r="B340" s="39">
        <v>444.6</v>
      </c>
      <c r="C340" s="13">
        <v>39</v>
      </c>
      <c r="AA340" s="8">
        <f t="shared" si="12"/>
        <v>339</v>
      </c>
      <c r="AB340" s="8">
        <v>0.59781273826877401</v>
      </c>
    </row>
    <row r="341" spans="1:28" ht="48" x14ac:dyDescent="0.2">
      <c r="A341" s="10" t="s">
        <v>545</v>
      </c>
      <c r="B341" s="39">
        <v>13893.6</v>
      </c>
      <c r="C341" s="13">
        <v>39</v>
      </c>
      <c r="AA341" s="8">
        <f t="shared" si="12"/>
        <v>340</v>
      </c>
      <c r="AB341" s="8">
        <v>0.59781273826877401</v>
      </c>
    </row>
    <row r="342" spans="1:28" ht="48" x14ac:dyDescent="0.2">
      <c r="A342" s="10" t="s">
        <v>546</v>
      </c>
      <c r="B342" s="39">
        <v>1886.8</v>
      </c>
      <c r="C342" s="13">
        <v>39</v>
      </c>
      <c r="AA342" s="8">
        <f t="shared" si="12"/>
        <v>341</v>
      </c>
      <c r="AB342" s="8">
        <v>0.59781273826877401</v>
      </c>
    </row>
    <row r="343" spans="1:28" ht="32" x14ac:dyDescent="0.2">
      <c r="A343" s="10" t="s">
        <v>597</v>
      </c>
      <c r="B343" s="39">
        <v>1670.1</v>
      </c>
      <c r="C343" s="13">
        <v>40</v>
      </c>
      <c r="AA343" s="8">
        <f t="shared" si="12"/>
        <v>342</v>
      </c>
      <c r="AB343" s="8">
        <v>0.59781273826877401</v>
      </c>
    </row>
    <row r="344" spans="1:28" ht="32" x14ac:dyDescent="0.2">
      <c r="A344" s="10" t="s">
        <v>598</v>
      </c>
      <c r="B344" s="39">
        <v>94.25</v>
      </c>
      <c r="C344" s="13">
        <v>40</v>
      </c>
      <c r="AA344" s="8">
        <f t="shared" si="12"/>
        <v>343</v>
      </c>
      <c r="AB344" s="8">
        <v>0.59781273826877401</v>
      </c>
    </row>
    <row r="345" spans="1:28" ht="32" x14ac:dyDescent="0.2">
      <c r="A345" s="10" t="s">
        <v>602</v>
      </c>
      <c r="B345" s="39">
        <v>274.5</v>
      </c>
      <c r="C345" s="13">
        <v>40</v>
      </c>
      <c r="AA345" s="8">
        <f t="shared" si="12"/>
        <v>344</v>
      </c>
      <c r="AB345" s="8">
        <v>0.59781273826877401</v>
      </c>
    </row>
    <row r="346" spans="1:28" ht="16" x14ac:dyDescent="0.2">
      <c r="A346" s="10" t="s">
        <v>601</v>
      </c>
      <c r="B346" s="39">
        <v>500</v>
      </c>
      <c r="C346" s="13">
        <v>40</v>
      </c>
      <c r="AA346" s="8">
        <f t="shared" si="12"/>
        <v>345</v>
      </c>
      <c r="AB346" s="8">
        <v>0.59781273826877401</v>
      </c>
    </row>
    <row r="347" spans="1:28" ht="32" x14ac:dyDescent="0.2">
      <c r="A347" s="10" t="s">
        <v>603</v>
      </c>
      <c r="B347" s="39">
        <v>1965.6</v>
      </c>
      <c r="C347" s="13">
        <v>40</v>
      </c>
      <c r="AA347" s="8">
        <f t="shared" si="12"/>
        <v>346</v>
      </c>
      <c r="AB347" s="8">
        <v>0.59781273826877401</v>
      </c>
    </row>
    <row r="348" spans="1:28" ht="32" x14ac:dyDescent="0.2">
      <c r="A348" s="10" t="s">
        <v>604</v>
      </c>
      <c r="B348" s="39">
        <v>1346.4</v>
      </c>
      <c r="C348" s="13">
        <v>40</v>
      </c>
      <c r="AA348" s="8">
        <f t="shared" si="12"/>
        <v>347</v>
      </c>
      <c r="AB348" s="8">
        <v>0.59781273826877401</v>
      </c>
    </row>
    <row r="349" spans="1:28" ht="32" x14ac:dyDescent="0.2">
      <c r="A349" s="10" t="s">
        <v>602</v>
      </c>
      <c r="B349" s="39">
        <v>378</v>
      </c>
      <c r="C349" s="13">
        <v>40</v>
      </c>
      <c r="AA349" s="8">
        <f t="shared" si="12"/>
        <v>348</v>
      </c>
      <c r="AB349" s="8">
        <v>0.59781273826877401</v>
      </c>
    </row>
    <row r="350" spans="1:28" ht="16" x14ac:dyDescent="0.2">
      <c r="A350" s="10" t="s">
        <v>601</v>
      </c>
      <c r="B350" s="39">
        <v>500</v>
      </c>
      <c r="C350" s="13">
        <v>40</v>
      </c>
      <c r="AA350" s="8">
        <f t="shared" si="12"/>
        <v>349</v>
      </c>
      <c r="AB350" s="8">
        <v>0.59781273826877401</v>
      </c>
    </row>
    <row r="351" spans="1:28" x14ac:dyDescent="0.2">
      <c r="A351" s="30" t="s">
        <v>889</v>
      </c>
      <c r="B351" s="39">
        <v>3000</v>
      </c>
      <c r="C351" s="23">
        <v>40</v>
      </c>
      <c r="AA351" s="8">
        <f t="shared" si="12"/>
        <v>350</v>
      </c>
      <c r="AB351" s="8">
        <v>0.59781273826877401</v>
      </c>
    </row>
    <row r="352" spans="1:28" ht="80" x14ac:dyDescent="0.2">
      <c r="A352" s="10" t="s">
        <v>494</v>
      </c>
      <c r="B352" s="39">
        <v>1267.1500000000001</v>
      </c>
      <c r="C352" s="13">
        <v>41</v>
      </c>
      <c r="AA352" s="8">
        <f t="shared" si="12"/>
        <v>351</v>
      </c>
      <c r="AB352" s="8">
        <v>0.59781273826877401</v>
      </c>
    </row>
    <row r="353" spans="1:28" ht="64" x14ac:dyDescent="0.2">
      <c r="A353" s="10" t="s">
        <v>495</v>
      </c>
      <c r="B353" s="39">
        <v>303.98</v>
      </c>
      <c r="C353" s="13">
        <v>41</v>
      </c>
      <c r="AA353" s="8">
        <f t="shared" si="12"/>
        <v>352</v>
      </c>
      <c r="AB353" s="8">
        <v>0.59781273826877401</v>
      </c>
    </row>
    <row r="354" spans="1:28" ht="64" x14ac:dyDescent="0.2">
      <c r="A354" s="10" t="s">
        <v>496</v>
      </c>
      <c r="B354" s="39">
        <v>474.75</v>
      </c>
      <c r="C354" s="13">
        <v>41</v>
      </c>
      <c r="AA354" s="8">
        <f t="shared" si="12"/>
        <v>353</v>
      </c>
      <c r="AB354" s="8">
        <v>0.59781273826877401</v>
      </c>
    </row>
    <row r="355" spans="1:28" ht="80" x14ac:dyDescent="0.2">
      <c r="A355" s="10" t="s">
        <v>497</v>
      </c>
      <c r="B355" s="39">
        <v>1207.4000000000001</v>
      </c>
      <c r="C355" s="13">
        <v>41</v>
      </c>
      <c r="AA355" s="8">
        <f t="shared" si="12"/>
        <v>354</v>
      </c>
      <c r="AB355" s="8">
        <v>0.59781273826877401</v>
      </c>
    </row>
    <row r="356" spans="1:28" ht="80" x14ac:dyDescent="0.2">
      <c r="A356" s="10" t="s">
        <v>498</v>
      </c>
      <c r="B356" s="39">
        <v>745.14</v>
      </c>
      <c r="C356" s="13">
        <v>41</v>
      </c>
      <c r="AA356" s="8">
        <f t="shared" si="12"/>
        <v>355</v>
      </c>
      <c r="AB356" s="8">
        <v>0.59781273826877401</v>
      </c>
    </row>
    <row r="357" spans="1:28" ht="96" x14ac:dyDescent="0.2">
      <c r="A357" s="10" t="s">
        <v>499</v>
      </c>
      <c r="B357" s="39">
        <v>2051.44</v>
      </c>
      <c r="C357" s="13">
        <v>41</v>
      </c>
      <c r="AA357" s="8">
        <f t="shared" si="12"/>
        <v>356</v>
      </c>
      <c r="AB357" s="8">
        <v>0.59781273826877401</v>
      </c>
    </row>
    <row r="358" spans="1:28" ht="80" x14ac:dyDescent="0.2">
      <c r="A358" s="10" t="s">
        <v>500</v>
      </c>
      <c r="B358" s="39">
        <v>285.08</v>
      </c>
      <c r="C358" s="13">
        <v>41</v>
      </c>
      <c r="AA358" s="8">
        <f t="shared" si="12"/>
        <v>357</v>
      </c>
      <c r="AB358" s="8">
        <v>0.59781273826877401</v>
      </c>
    </row>
    <row r="359" spans="1:28" ht="80" x14ac:dyDescent="0.2">
      <c r="A359" s="10" t="s">
        <v>501</v>
      </c>
      <c r="B359" s="39">
        <v>970.4</v>
      </c>
      <c r="C359" s="13">
        <v>41</v>
      </c>
      <c r="AA359" s="8">
        <f t="shared" si="12"/>
        <v>358</v>
      </c>
      <c r="AB359" s="8">
        <v>0.59781273826877401</v>
      </c>
    </row>
    <row r="360" spans="1:28" ht="80" x14ac:dyDescent="0.2">
      <c r="A360" s="10" t="s">
        <v>502</v>
      </c>
      <c r="B360" s="39">
        <v>1222.4000000000001</v>
      </c>
      <c r="C360" s="13">
        <v>41</v>
      </c>
      <c r="AA360" s="8">
        <f t="shared" si="12"/>
        <v>359</v>
      </c>
      <c r="AB360" s="8">
        <v>0.59781273826877401</v>
      </c>
    </row>
    <row r="361" spans="1:28" ht="64" x14ac:dyDescent="0.2">
      <c r="A361" s="10" t="s">
        <v>503</v>
      </c>
      <c r="B361" s="39">
        <v>306.98</v>
      </c>
      <c r="C361" s="13">
        <v>41</v>
      </c>
      <c r="AA361" s="8">
        <f t="shared" si="12"/>
        <v>360</v>
      </c>
      <c r="AB361" s="8">
        <v>0.59781273826877401</v>
      </c>
    </row>
    <row r="362" spans="1:28" ht="64" x14ac:dyDescent="0.2">
      <c r="A362" s="10" t="s">
        <v>504</v>
      </c>
      <c r="B362" s="39">
        <v>239.43</v>
      </c>
      <c r="C362" s="13">
        <v>41</v>
      </c>
      <c r="AA362" s="8">
        <f t="shared" si="12"/>
        <v>361</v>
      </c>
      <c r="AB362" s="8">
        <v>0.59781273826877401</v>
      </c>
    </row>
    <row r="363" spans="1:28" ht="64" x14ac:dyDescent="0.2">
      <c r="A363" s="10" t="s">
        <v>505</v>
      </c>
      <c r="B363" s="39">
        <v>902.9</v>
      </c>
      <c r="C363" s="13">
        <v>41</v>
      </c>
      <c r="AA363" s="8">
        <f t="shared" si="12"/>
        <v>362</v>
      </c>
      <c r="AB363" s="8">
        <v>0.59781273826877401</v>
      </c>
    </row>
    <row r="364" spans="1:28" ht="80" x14ac:dyDescent="0.2">
      <c r="A364" s="10" t="s">
        <v>506</v>
      </c>
      <c r="B364" s="39">
        <v>806.12</v>
      </c>
      <c r="C364" s="13">
        <v>41</v>
      </c>
      <c r="AA364" s="8">
        <f t="shared" si="12"/>
        <v>363</v>
      </c>
      <c r="AB364" s="8">
        <v>0.59781273826877401</v>
      </c>
    </row>
    <row r="365" spans="1:28" ht="80" x14ac:dyDescent="0.2">
      <c r="A365" s="10" t="s">
        <v>507</v>
      </c>
      <c r="B365" s="39">
        <v>806.12</v>
      </c>
      <c r="C365" s="13">
        <v>41</v>
      </c>
      <c r="AA365" s="8">
        <f t="shared" si="12"/>
        <v>364</v>
      </c>
      <c r="AB365" s="8">
        <v>0.59781273826877401</v>
      </c>
    </row>
    <row r="366" spans="1:28" ht="96" x14ac:dyDescent="0.2">
      <c r="A366" s="10" t="s">
        <v>508</v>
      </c>
      <c r="B366" s="39">
        <v>2369.7199999999998</v>
      </c>
      <c r="C366" s="13">
        <v>41</v>
      </c>
      <c r="AA366" s="8">
        <f t="shared" si="12"/>
        <v>365</v>
      </c>
      <c r="AB366" s="8">
        <v>0.59781273826877401</v>
      </c>
    </row>
    <row r="367" spans="1:28" ht="64" x14ac:dyDescent="0.2">
      <c r="A367" s="10" t="s">
        <v>509</v>
      </c>
      <c r="B367" s="39">
        <v>592.42999999999995</v>
      </c>
      <c r="C367" s="13">
        <v>41</v>
      </c>
      <c r="AA367" s="8">
        <f t="shared" si="12"/>
        <v>366</v>
      </c>
      <c r="AB367" s="8">
        <v>0.59781273826877401</v>
      </c>
    </row>
    <row r="368" spans="1:28" ht="96" x14ac:dyDescent="0.2">
      <c r="A368" s="10" t="s">
        <v>510</v>
      </c>
      <c r="B368" s="39">
        <v>2059.6999999999998</v>
      </c>
      <c r="C368" s="13">
        <v>41</v>
      </c>
      <c r="AA368" s="8">
        <f t="shared" si="12"/>
        <v>367</v>
      </c>
      <c r="AB368" s="8">
        <v>0.59781273826877401</v>
      </c>
    </row>
    <row r="369" spans="1:28" ht="96" x14ac:dyDescent="0.2">
      <c r="A369" s="10" t="s">
        <v>511</v>
      </c>
      <c r="B369" s="39">
        <v>2265.67</v>
      </c>
      <c r="C369" s="13">
        <v>41</v>
      </c>
      <c r="AA369" s="8">
        <f t="shared" si="12"/>
        <v>368</v>
      </c>
      <c r="AB369" s="8">
        <v>0.59781273826877401</v>
      </c>
    </row>
    <row r="370" spans="1:28" ht="80" x14ac:dyDescent="0.2">
      <c r="A370" s="10" t="s">
        <v>512</v>
      </c>
      <c r="B370" s="39">
        <v>201.4</v>
      </c>
      <c r="C370" s="13">
        <v>41</v>
      </c>
      <c r="AA370" s="8">
        <f t="shared" si="12"/>
        <v>369</v>
      </c>
      <c r="AB370" s="8">
        <v>0.59781273826877401</v>
      </c>
    </row>
    <row r="371" spans="1:28" ht="112" x14ac:dyDescent="0.2">
      <c r="A371" s="10" t="s">
        <v>513</v>
      </c>
      <c r="B371" s="39">
        <v>2832.96</v>
      </c>
      <c r="C371" s="13">
        <v>41</v>
      </c>
      <c r="AA371" s="8">
        <f t="shared" si="12"/>
        <v>370</v>
      </c>
      <c r="AB371" s="8">
        <v>0.59781273826877401</v>
      </c>
    </row>
    <row r="372" spans="1:28" ht="96" x14ac:dyDescent="0.2">
      <c r="A372" s="10" t="s">
        <v>514</v>
      </c>
      <c r="B372" s="39">
        <v>747.06</v>
      </c>
      <c r="C372" s="13">
        <v>41</v>
      </c>
      <c r="AA372" s="8">
        <f t="shared" si="12"/>
        <v>371</v>
      </c>
      <c r="AB372" s="8">
        <v>0.59781273826877401</v>
      </c>
    </row>
    <row r="373" spans="1:28" ht="96" x14ac:dyDescent="0.2">
      <c r="A373" s="10" t="s">
        <v>515</v>
      </c>
      <c r="B373" s="39">
        <v>964.92</v>
      </c>
      <c r="C373" s="13">
        <v>41</v>
      </c>
      <c r="AA373" s="8">
        <f t="shared" si="12"/>
        <v>372</v>
      </c>
      <c r="AB373" s="8">
        <v>0.59781273826877401</v>
      </c>
    </row>
    <row r="374" spans="1:28" ht="64" x14ac:dyDescent="0.2">
      <c r="A374" s="10" t="s">
        <v>516</v>
      </c>
      <c r="B374" s="39">
        <v>205.97</v>
      </c>
      <c r="C374" s="13">
        <v>41</v>
      </c>
      <c r="AA374" s="8">
        <f t="shared" si="12"/>
        <v>373</v>
      </c>
      <c r="AB374" s="8">
        <v>0.59781273826877401</v>
      </c>
    </row>
    <row r="375" spans="1:28" ht="64" x14ac:dyDescent="0.2">
      <c r="A375" s="10" t="s">
        <v>517</v>
      </c>
      <c r="B375" s="39">
        <v>254.52</v>
      </c>
      <c r="C375" s="13">
        <v>41</v>
      </c>
      <c r="AA375" s="8">
        <f t="shared" si="12"/>
        <v>374</v>
      </c>
      <c r="AB375" s="8">
        <v>0.59781273826877401</v>
      </c>
    </row>
    <row r="376" spans="1:28" ht="64" x14ac:dyDescent="0.2">
      <c r="A376" s="10" t="s">
        <v>518</v>
      </c>
      <c r="B376" s="39">
        <v>299.49</v>
      </c>
      <c r="C376" s="13">
        <v>41</v>
      </c>
      <c r="AA376" s="8">
        <f t="shared" si="12"/>
        <v>375</v>
      </c>
      <c r="AB376" s="8">
        <v>0.59781273826877401</v>
      </c>
    </row>
    <row r="377" spans="1:28" ht="64" x14ac:dyDescent="0.2">
      <c r="A377" s="10" t="s">
        <v>519</v>
      </c>
      <c r="B377" s="39">
        <v>262.52</v>
      </c>
      <c r="C377" s="13">
        <v>41</v>
      </c>
      <c r="AA377" s="8">
        <f t="shared" si="12"/>
        <v>376</v>
      </c>
      <c r="AB377" s="8">
        <v>0.59781273826877401</v>
      </c>
    </row>
    <row r="378" spans="1:28" ht="64" x14ac:dyDescent="0.2">
      <c r="A378" s="10" t="s">
        <v>520</v>
      </c>
      <c r="B378" s="39">
        <v>299.49</v>
      </c>
      <c r="C378" s="13">
        <v>41</v>
      </c>
      <c r="AA378" s="8">
        <f t="shared" si="12"/>
        <v>377</v>
      </c>
      <c r="AB378" s="8">
        <v>0.59781273826877401</v>
      </c>
    </row>
    <row r="379" spans="1:28" ht="80" x14ac:dyDescent="0.2">
      <c r="A379" s="10" t="s">
        <v>521</v>
      </c>
      <c r="B379" s="39">
        <v>2708.4</v>
      </c>
      <c r="C379" s="13">
        <v>41</v>
      </c>
      <c r="AA379" s="8">
        <f t="shared" si="12"/>
        <v>378</v>
      </c>
      <c r="AB379" s="8">
        <v>0.59781273826877401</v>
      </c>
    </row>
    <row r="380" spans="1:28" ht="48" x14ac:dyDescent="0.2">
      <c r="A380" s="10" t="s">
        <v>47</v>
      </c>
      <c r="B380" s="39">
        <v>620</v>
      </c>
      <c r="C380" s="13">
        <v>41</v>
      </c>
      <c r="AA380" s="8">
        <f t="shared" si="12"/>
        <v>379</v>
      </c>
      <c r="AB380" s="8">
        <v>0.59781273826877401</v>
      </c>
    </row>
    <row r="381" spans="1:28" ht="48" x14ac:dyDescent="0.2">
      <c r="A381" s="10" t="s">
        <v>48</v>
      </c>
      <c r="B381" s="39">
        <v>1240</v>
      </c>
      <c r="C381" s="13">
        <v>41</v>
      </c>
      <c r="AA381" s="8">
        <f t="shared" si="12"/>
        <v>380</v>
      </c>
      <c r="AB381" s="8">
        <v>0.59781273826877401</v>
      </c>
    </row>
    <row r="382" spans="1:28" ht="48" x14ac:dyDescent="0.2">
      <c r="A382" s="10" t="s">
        <v>49</v>
      </c>
      <c r="B382" s="39">
        <v>1240</v>
      </c>
      <c r="C382" s="13">
        <v>41</v>
      </c>
      <c r="AA382" s="8">
        <f t="shared" si="12"/>
        <v>381</v>
      </c>
      <c r="AB382" s="8">
        <v>0.59781273826877401</v>
      </c>
    </row>
    <row r="383" spans="1:28" ht="48" x14ac:dyDescent="0.2">
      <c r="A383" s="10" t="s">
        <v>50</v>
      </c>
      <c r="B383" s="39">
        <v>1240</v>
      </c>
      <c r="C383" s="13">
        <v>41</v>
      </c>
      <c r="AA383" s="8">
        <f t="shared" si="12"/>
        <v>382</v>
      </c>
      <c r="AB383" s="8">
        <v>0.59781273826877401</v>
      </c>
    </row>
    <row r="384" spans="1:28" ht="32" x14ac:dyDescent="0.2">
      <c r="A384" s="10" t="s">
        <v>51</v>
      </c>
      <c r="B384" s="39">
        <v>620</v>
      </c>
      <c r="C384" s="13">
        <v>41</v>
      </c>
      <c r="AA384" s="8">
        <f t="shared" si="12"/>
        <v>383</v>
      </c>
      <c r="AB384" s="8">
        <v>0.59781273826877401</v>
      </c>
    </row>
    <row r="385" spans="1:28" ht="48" x14ac:dyDescent="0.2">
      <c r="A385" s="10" t="s">
        <v>547</v>
      </c>
      <c r="B385" s="39">
        <v>1395.2</v>
      </c>
      <c r="C385" s="13">
        <v>42</v>
      </c>
      <c r="AA385" s="8">
        <f t="shared" si="12"/>
        <v>384</v>
      </c>
      <c r="AB385" s="8">
        <v>0.59781273826877401</v>
      </c>
    </row>
    <row r="386" spans="1:28" ht="48" x14ac:dyDescent="0.2">
      <c r="A386" s="10" t="s">
        <v>548</v>
      </c>
      <c r="B386" s="39">
        <v>280.5</v>
      </c>
      <c r="C386" s="13">
        <v>42</v>
      </c>
      <c r="AA386" s="8">
        <f t="shared" si="12"/>
        <v>385</v>
      </c>
      <c r="AB386" s="8">
        <v>0.59781273826877401</v>
      </c>
    </row>
    <row r="387" spans="1:28" ht="32" x14ac:dyDescent="0.2">
      <c r="A387" s="10" t="s">
        <v>646</v>
      </c>
      <c r="B387" s="39">
        <v>424</v>
      </c>
      <c r="C387" s="13">
        <v>46</v>
      </c>
      <c r="AA387" s="8">
        <f t="shared" si="12"/>
        <v>386</v>
      </c>
      <c r="AB387" s="8">
        <v>0.59781273826877401</v>
      </c>
    </row>
    <row r="388" spans="1:28" ht="48" x14ac:dyDescent="0.2">
      <c r="A388" s="10" t="s">
        <v>529</v>
      </c>
      <c r="B388" s="39">
        <v>1252.9000000000001</v>
      </c>
      <c r="C388" s="13">
        <v>48</v>
      </c>
      <c r="AA388" s="8">
        <f t="shared" ref="AA388:AA451" si="13">AA387+1</f>
        <v>387</v>
      </c>
      <c r="AB388" s="8">
        <v>0.59781273826877401</v>
      </c>
    </row>
    <row r="389" spans="1:28" ht="48" x14ac:dyDescent="0.2">
      <c r="A389" s="10" t="s">
        <v>530</v>
      </c>
      <c r="B389" s="39">
        <v>1534.3</v>
      </c>
      <c r="C389" s="13">
        <v>48</v>
      </c>
      <c r="AA389" s="8">
        <f t="shared" si="13"/>
        <v>388</v>
      </c>
      <c r="AB389" s="8">
        <v>0.59781273826877401</v>
      </c>
    </row>
    <row r="390" spans="1:28" ht="48" x14ac:dyDescent="0.2">
      <c r="A390" s="10" t="s">
        <v>531</v>
      </c>
      <c r="B390" s="39">
        <v>2338.3000000000002</v>
      </c>
      <c r="C390" s="13">
        <v>48</v>
      </c>
      <c r="AA390" s="8">
        <f t="shared" si="13"/>
        <v>389</v>
      </c>
      <c r="AB390" s="8">
        <v>0.59781273826877401</v>
      </c>
    </row>
    <row r="391" spans="1:28" ht="48" x14ac:dyDescent="0.2">
      <c r="A391" s="10" t="s">
        <v>532</v>
      </c>
      <c r="B391" s="39">
        <v>710.2</v>
      </c>
      <c r="C391" s="13">
        <v>48</v>
      </c>
      <c r="AA391" s="8">
        <f t="shared" si="13"/>
        <v>390</v>
      </c>
      <c r="AB391" s="8">
        <v>0.59781273826877401</v>
      </c>
    </row>
    <row r="392" spans="1:28" ht="48" x14ac:dyDescent="0.2">
      <c r="A392" s="10" t="s">
        <v>558</v>
      </c>
      <c r="B392" s="39">
        <v>22880</v>
      </c>
      <c r="C392" s="13">
        <v>48</v>
      </c>
      <c r="AA392" s="8">
        <f t="shared" si="13"/>
        <v>391</v>
      </c>
      <c r="AB392" s="8">
        <v>0.59781273826877401</v>
      </c>
    </row>
    <row r="393" spans="1:28" ht="32" x14ac:dyDescent="0.2">
      <c r="A393" s="10" t="s">
        <v>559</v>
      </c>
      <c r="B393" s="39">
        <v>11242</v>
      </c>
      <c r="C393" s="13">
        <v>48</v>
      </c>
      <c r="AA393" s="8">
        <f t="shared" si="13"/>
        <v>392</v>
      </c>
      <c r="AB393" s="8">
        <v>0.59781273826877401</v>
      </c>
    </row>
    <row r="394" spans="1:28" ht="48" x14ac:dyDescent="0.2">
      <c r="A394" s="10" t="s">
        <v>560</v>
      </c>
      <c r="B394" s="39">
        <v>224</v>
      </c>
      <c r="C394" s="13">
        <v>48</v>
      </c>
      <c r="AA394" s="8">
        <f t="shared" si="13"/>
        <v>393</v>
      </c>
      <c r="AB394" s="8">
        <v>0.59781273826877401</v>
      </c>
    </row>
    <row r="395" spans="1:28" ht="32" x14ac:dyDescent="0.2">
      <c r="A395" s="10" t="s">
        <v>561</v>
      </c>
      <c r="B395" s="39">
        <v>42</v>
      </c>
      <c r="C395" s="13">
        <v>48</v>
      </c>
      <c r="AA395" s="8">
        <f t="shared" si="13"/>
        <v>394</v>
      </c>
      <c r="AB395" s="8">
        <v>0.59781273826877401</v>
      </c>
    </row>
    <row r="396" spans="1:28" ht="32" x14ac:dyDescent="0.2">
      <c r="A396" s="10" t="s">
        <v>562</v>
      </c>
      <c r="B396" s="39">
        <v>1642.5</v>
      </c>
      <c r="C396" s="13">
        <v>48</v>
      </c>
      <c r="AA396" s="8">
        <f t="shared" si="13"/>
        <v>395</v>
      </c>
      <c r="AB396" s="8">
        <v>0.59781273826877401</v>
      </c>
    </row>
    <row r="397" spans="1:28" ht="32" x14ac:dyDescent="0.2">
      <c r="A397" s="10" t="s">
        <v>563</v>
      </c>
      <c r="B397" s="39">
        <v>40</v>
      </c>
      <c r="C397" s="13">
        <v>48</v>
      </c>
      <c r="AA397" s="8">
        <f t="shared" si="13"/>
        <v>396</v>
      </c>
      <c r="AB397" s="8">
        <v>0.59781273826877401</v>
      </c>
    </row>
    <row r="398" spans="1:28" ht="32" x14ac:dyDescent="0.2">
      <c r="A398" s="10" t="s">
        <v>579</v>
      </c>
      <c r="B398" s="39">
        <v>2391.15</v>
      </c>
      <c r="C398" s="13">
        <v>48</v>
      </c>
      <c r="AA398" s="8">
        <f t="shared" si="13"/>
        <v>397</v>
      </c>
      <c r="AB398" s="8">
        <v>0.59781273826877401</v>
      </c>
    </row>
    <row r="399" spans="1:28" ht="48" x14ac:dyDescent="0.2">
      <c r="A399" s="10" t="s">
        <v>580</v>
      </c>
      <c r="B399" s="39">
        <v>309</v>
      </c>
      <c r="C399" s="13">
        <v>48</v>
      </c>
      <c r="AA399" s="8">
        <f t="shared" si="13"/>
        <v>398</v>
      </c>
      <c r="AB399" s="8">
        <v>0.59781273826877401</v>
      </c>
    </row>
    <row r="400" spans="1:28" ht="32" x14ac:dyDescent="0.2">
      <c r="A400" s="10" t="s">
        <v>755</v>
      </c>
      <c r="B400" s="39">
        <v>1528.54</v>
      </c>
      <c r="C400" s="13">
        <v>50</v>
      </c>
      <c r="AA400" s="8">
        <f t="shared" si="13"/>
        <v>399</v>
      </c>
      <c r="AB400" s="8">
        <v>0.59781273826877401</v>
      </c>
    </row>
    <row r="401" spans="1:28" ht="32" x14ac:dyDescent="0.2">
      <c r="A401" s="10" t="s">
        <v>756</v>
      </c>
      <c r="B401" s="39">
        <v>3402.76</v>
      </c>
      <c r="C401" s="13">
        <v>50</v>
      </c>
      <c r="AA401" s="8">
        <f t="shared" si="13"/>
        <v>400</v>
      </c>
      <c r="AB401" s="8">
        <v>0.59781273826877401</v>
      </c>
    </row>
    <row r="402" spans="1:28" ht="32" x14ac:dyDescent="0.2">
      <c r="A402" s="10" t="s">
        <v>757</v>
      </c>
      <c r="B402" s="39">
        <v>3649.06</v>
      </c>
      <c r="C402" s="13">
        <v>50</v>
      </c>
      <c r="AA402" s="8">
        <f t="shared" si="13"/>
        <v>401</v>
      </c>
      <c r="AB402" s="8">
        <v>0.59781273826877401</v>
      </c>
    </row>
    <row r="403" spans="1:28" ht="32" x14ac:dyDescent="0.2">
      <c r="A403" s="10" t="s">
        <v>758</v>
      </c>
      <c r="B403" s="39">
        <v>1993.05</v>
      </c>
      <c r="C403" s="13">
        <v>50</v>
      </c>
      <c r="AA403" s="8">
        <f t="shared" si="13"/>
        <v>402</v>
      </c>
      <c r="AB403" s="8">
        <v>0.59781273826877401</v>
      </c>
    </row>
    <row r="404" spans="1:28" ht="64" x14ac:dyDescent="0.2">
      <c r="A404" s="10" t="s">
        <v>85</v>
      </c>
      <c r="B404" s="39">
        <v>1420.52</v>
      </c>
      <c r="C404" s="13">
        <v>50</v>
      </c>
      <c r="AA404" s="8">
        <f t="shared" si="13"/>
        <v>403</v>
      </c>
      <c r="AB404" s="8">
        <v>0.59781273826877401</v>
      </c>
    </row>
    <row r="405" spans="1:28" ht="64" x14ac:dyDescent="0.2">
      <c r="A405" s="10" t="s">
        <v>86</v>
      </c>
      <c r="B405" s="39">
        <v>1636.57</v>
      </c>
      <c r="C405" s="13">
        <v>50</v>
      </c>
      <c r="AA405" s="8">
        <f t="shared" si="13"/>
        <v>404</v>
      </c>
      <c r="AB405" s="8">
        <v>0.59781273826877401</v>
      </c>
    </row>
    <row r="406" spans="1:28" ht="16" x14ac:dyDescent="0.2">
      <c r="A406" s="10" t="s">
        <v>88</v>
      </c>
      <c r="B406" s="39">
        <v>1182.8699999999999</v>
      </c>
      <c r="C406" s="13">
        <v>50</v>
      </c>
      <c r="AA406" s="8">
        <f t="shared" si="13"/>
        <v>405</v>
      </c>
      <c r="AB406" s="8">
        <v>0.59781273826877401</v>
      </c>
    </row>
    <row r="407" spans="1:28" ht="16" x14ac:dyDescent="0.2">
      <c r="A407" s="10" t="s">
        <v>89</v>
      </c>
      <c r="B407" s="39">
        <v>2403.5500000000002</v>
      </c>
      <c r="C407" s="13">
        <v>50</v>
      </c>
      <c r="AA407" s="8">
        <f t="shared" si="13"/>
        <v>406</v>
      </c>
      <c r="AB407" s="8">
        <v>0.59781273826877401</v>
      </c>
    </row>
    <row r="408" spans="1:28" ht="32" x14ac:dyDescent="0.2">
      <c r="A408" s="10" t="s">
        <v>808</v>
      </c>
      <c r="B408" s="39">
        <v>1528.54</v>
      </c>
      <c r="C408" s="13">
        <v>50</v>
      </c>
      <c r="AA408" s="8">
        <f t="shared" si="13"/>
        <v>407</v>
      </c>
      <c r="AB408" s="8">
        <v>0.59781273826877401</v>
      </c>
    </row>
    <row r="409" spans="1:28" ht="32" x14ac:dyDescent="0.2">
      <c r="A409" s="10" t="s">
        <v>809</v>
      </c>
      <c r="B409" s="39">
        <v>3402.76</v>
      </c>
      <c r="C409" s="13">
        <v>50</v>
      </c>
      <c r="AA409" s="8">
        <f t="shared" si="13"/>
        <v>408</v>
      </c>
      <c r="AB409" s="8">
        <v>0.59781273826877401</v>
      </c>
    </row>
    <row r="410" spans="1:28" ht="32" x14ac:dyDescent="0.2">
      <c r="A410" s="10" t="s">
        <v>810</v>
      </c>
      <c r="B410" s="39">
        <v>3649.06</v>
      </c>
      <c r="C410" s="13">
        <v>50</v>
      </c>
      <c r="AA410" s="8">
        <f t="shared" si="13"/>
        <v>409</v>
      </c>
      <c r="AB410" s="8">
        <v>0.59781273826877401</v>
      </c>
    </row>
    <row r="411" spans="1:28" ht="32" x14ac:dyDescent="0.2">
      <c r="A411" s="10" t="s">
        <v>811</v>
      </c>
      <c r="B411" s="39">
        <v>3986.1</v>
      </c>
      <c r="C411" s="13">
        <v>50</v>
      </c>
      <c r="AA411" s="8">
        <f t="shared" si="13"/>
        <v>410</v>
      </c>
      <c r="AB411" s="8">
        <v>0.59781273826877401</v>
      </c>
    </row>
    <row r="412" spans="1:28" ht="16" x14ac:dyDescent="0.2">
      <c r="A412" s="10" t="s">
        <v>89</v>
      </c>
      <c r="B412" s="39">
        <v>4807.1000000000004</v>
      </c>
      <c r="C412" s="13">
        <v>50</v>
      </c>
      <c r="AA412" s="8">
        <f t="shared" si="13"/>
        <v>411</v>
      </c>
      <c r="AB412" s="8">
        <v>0.59781273826877401</v>
      </c>
    </row>
    <row r="413" spans="1:28" ht="16" x14ac:dyDescent="0.2">
      <c r="A413" s="10" t="s">
        <v>91</v>
      </c>
      <c r="B413" s="39">
        <v>1668.96</v>
      </c>
      <c r="C413" s="13">
        <v>50</v>
      </c>
      <c r="AA413" s="8">
        <f t="shared" si="13"/>
        <v>412</v>
      </c>
      <c r="AB413" s="8">
        <v>0.59781273826877401</v>
      </c>
    </row>
    <row r="414" spans="1:28" ht="16" x14ac:dyDescent="0.2">
      <c r="A414" s="10" t="s">
        <v>92</v>
      </c>
      <c r="B414" s="39">
        <v>658.95</v>
      </c>
      <c r="C414" s="13">
        <v>50</v>
      </c>
      <c r="AA414" s="8">
        <f t="shared" si="13"/>
        <v>413</v>
      </c>
      <c r="AB414" s="8">
        <v>0.59781273826877401</v>
      </c>
    </row>
    <row r="415" spans="1:28" ht="64" x14ac:dyDescent="0.2">
      <c r="A415" s="10" t="s">
        <v>237</v>
      </c>
      <c r="B415" s="39">
        <v>2168.1</v>
      </c>
      <c r="C415" s="13">
        <v>51</v>
      </c>
      <c r="AA415" s="8">
        <f t="shared" si="13"/>
        <v>414</v>
      </c>
      <c r="AB415" s="8">
        <v>0.59781273826877401</v>
      </c>
    </row>
    <row r="416" spans="1:28" ht="48" x14ac:dyDescent="0.2">
      <c r="A416" s="10" t="s">
        <v>414</v>
      </c>
      <c r="B416" s="39">
        <v>24804</v>
      </c>
      <c r="C416" s="13">
        <v>52</v>
      </c>
      <c r="AA416" s="8">
        <f t="shared" si="13"/>
        <v>415</v>
      </c>
      <c r="AB416" s="8">
        <v>0.59781273826877401</v>
      </c>
    </row>
    <row r="417" spans="1:28" ht="48" x14ac:dyDescent="0.2">
      <c r="A417" s="10" t="s">
        <v>415</v>
      </c>
      <c r="B417" s="39">
        <v>2704</v>
      </c>
      <c r="C417" s="13">
        <v>52</v>
      </c>
      <c r="AA417" s="8">
        <f t="shared" si="13"/>
        <v>416</v>
      </c>
      <c r="AB417" s="8">
        <v>0.59781273826877401</v>
      </c>
    </row>
    <row r="418" spans="1:28" ht="48" x14ac:dyDescent="0.2">
      <c r="A418" s="10" t="s">
        <v>416</v>
      </c>
      <c r="B418" s="39">
        <v>4160</v>
      </c>
      <c r="C418" s="13">
        <v>52</v>
      </c>
      <c r="AA418" s="8">
        <f t="shared" si="13"/>
        <v>417</v>
      </c>
      <c r="AB418" s="8">
        <v>0.59781273826877401</v>
      </c>
    </row>
    <row r="419" spans="1:28" ht="64" x14ac:dyDescent="0.2">
      <c r="A419" s="10" t="s">
        <v>417</v>
      </c>
      <c r="B419" s="39">
        <v>260</v>
      </c>
      <c r="C419" s="13">
        <v>52</v>
      </c>
      <c r="AA419" s="8">
        <f t="shared" si="13"/>
        <v>418</v>
      </c>
      <c r="AB419" s="8">
        <v>0.59781273826877401</v>
      </c>
    </row>
    <row r="420" spans="1:28" ht="64" x14ac:dyDescent="0.2">
      <c r="A420" s="10" t="s">
        <v>418</v>
      </c>
      <c r="B420" s="39">
        <v>569.25</v>
      </c>
      <c r="C420" s="13">
        <v>52</v>
      </c>
      <c r="AA420" s="8">
        <f t="shared" si="13"/>
        <v>419</v>
      </c>
      <c r="AB420" s="8">
        <v>0.59781273826877401</v>
      </c>
    </row>
    <row r="421" spans="1:28" ht="64" x14ac:dyDescent="0.2">
      <c r="A421" s="10" t="s">
        <v>419</v>
      </c>
      <c r="B421" s="39">
        <v>264.5</v>
      </c>
      <c r="C421" s="13">
        <v>52</v>
      </c>
      <c r="AA421" s="8">
        <f t="shared" si="13"/>
        <v>420</v>
      </c>
      <c r="AB421" s="8">
        <v>0.59781273826877401</v>
      </c>
    </row>
    <row r="422" spans="1:28" ht="32" x14ac:dyDescent="0.2">
      <c r="A422" s="10" t="s">
        <v>736</v>
      </c>
      <c r="B422" s="39">
        <v>1354.32</v>
      </c>
      <c r="C422" s="13">
        <v>53</v>
      </c>
      <c r="AA422" s="8">
        <f t="shared" si="13"/>
        <v>421</v>
      </c>
      <c r="AB422" s="8">
        <v>0.59781273826877401</v>
      </c>
    </row>
    <row r="423" spans="1:28" ht="16" x14ac:dyDescent="0.2">
      <c r="A423" s="10" t="s">
        <v>737</v>
      </c>
      <c r="B423" s="39">
        <v>1149.5</v>
      </c>
      <c r="C423" s="13">
        <v>53</v>
      </c>
      <c r="AA423" s="8">
        <f t="shared" si="13"/>
        <v>422</v>
      </c>
      <c r="AB423" s="8">
        <v>0.59781273826877401</v>
      </c>
    </row>
    <row r="424" spans="1:28" ht="32" x14ac:dyDescent="0.2">
      <c r="A424" s="10" t="s">
        <v>738</v>
      </c>
      <c r="B424" s="39">
        <v>574.75</v>
      </c>
      <c r="C424" s="13">
        <v>53</v>
      </c>
      <c r="AA424" s="8">
        <f t="shared" si="13"/>
        <v>423</v>
      </c>
      <c r="AB424" s="8">
        <v>0.59781273826877401</v>
      </c>
    </row>
    <row r="425" spans="1:28" ht="32" x14ac:dyDescent="0.2">
      <c r="A425" s="10" t="s">
        <v>739</v>
      </c>
      <c r="B425" s="39">
        <v>656.83</v>
      </c>
      <c r="C425" s="13">
        <v>53</v>
      </c>
      <c r="AA425" s="8">
        <f t="shared" si="13"/>
        <v>424</v>
      </c>
      <c r="AB425" s="8">
        <v>0.59781273826877401</v>
      </c>
    </row>
    <row r="426" spans="1:28" ht="16" x14ac:dyDescent="0.2">
      <c r="A426" s="10" t="s">
        <v>740</v>
      </c>
      <c r="B426" s="39">
        <v>718.39</v>
      </c>
      <c r="C426" s="13">
        <v>53</v>
      </c>
      <c r="AA426" s="8">
        <f t="shared" si="13"/>
        <v>425</v>
      </c>
      <c r="AB426" s="8">
        <v>0.59781273826877401</v>
      </c>
    </row>
    <row r="427" spans="1:28" ht="16" x14ac:dyDescent="0.2">
      <c r="A427" s="10" t="s">
        <v>750</v>
      </c>
      <c r="B427" s="39">
        <v>1779.84</v>
      </c>
      <c r="C427" s="13">
        <v>53</v>
      </c>
      <c r="AA427" s="8">
        <f t="shared" si="13"/>
        <v>426</v>
      </c>
      <c r="AB427" s="8">
        <v>0.59781273826877401</v>
      </c>
    </row>
    <row r="428" spans="1:28" ht="16" x14ac:dyDescent="0.2">
      <c r="A428" s="10" t="s">
        <v>751</v>
      </c>
      <c r="B428" s="39">
        <v>302.5</v>
      </c>
      <c r="C428" s="13">
        <v>53</v>
      </c>
      <c r="AA428" s="8">
        <f t="shared" si="13"/>
        <v>427</v>
      </c>
      <c r="AB428" s="8">
        <v>0.59781273826877401</v>
      </c>
    </row>
    <row r="429" spans="1:28" ht="32" x14ac:dyDescent="0.2">
      <c r="A429" s="10" t="s">
        <v>752</v>
      </c>
      <c r="B429" s="39">
        <v>484</v>
      </c>
      <c r="C429" s="13">
        <v>53</v>
      </c>
      <c r="AA429" s="8">
        <f t="shared" si="13"/>
        <v>428</v>
      </c>
      <c r="AB429" s="8">
        <v>0.59781273826877401</v>
      </c>
    </row>
    <row r="430" spans="1:28" ht="32" x14ac:dyDescent="0.2">
      <c r="A430" s="10" t="s">
        <v>753</v>
      </c>
      <c r="B430" s="39">
        <v>37.81</v>
      </c>
      <c r="C430" s="13">
        <v>53</v>
      </c>
      <c r="AA430" s="8">
        <f t="shared" si="13"/>
        <v>429</v>
      </c>
      <c r="AB430" s="8">
        <v>0.59781273826877401</v>
      </c>
    </row>
    <row r="431" spans="1:28" ht="32" x14ac:dyDescent="0.2">
      <c r="A431" s="10" t="s">
        <v>754</v>
      </c>
      <c r="B431" s="39">
        <v>37.81</v>
      </c>
      <c r="C431" s="13">
        <v>53</v>
      </c>
      <c r="AA431" s="8">
        <f t="shared" si="13"/>
        <v>430</v>
      </c>
      <c r="AB431" s="8">
        <v>0.59781273826877401</v>
      </c>
    </row>
    <row r="432" spans="1:28" ht="80" x14ac:dyDescent="0.2">
      <c r="A432" s="10" t="s">
        <v>87</v>
      </c>
      <c r="B432" s="39">
        <v>837.19</v>
      </c>
      <c r="C432" s="13">
        <v>53</v>
      </c>
      <c r="AA432" s="8">
        <f t="shared" si="13"/>
        <v>431</v>
      </c>
      <c r="AB432" s="8">
        <v>0.59781273826877401</v>
      </c>
    </row>
    <row r="433" spans="1:28" ht="16" x14ac:dyDescent="0.2">
      <c r="A433" s="10" t="s">
        <v>762</v>
      </c>
      <c r="B433" s="39">
        <v>736.56</v>
      </c>
      <c r="C433" s="13">
        <v>53</v>
      </c>
      <c r="AA433" s="8">
        <f t="shared" si="13"/>
        <v>432</v>
      </c>
      <c r="AB433" s="8">
        <v>0.59781273826877401</v>
      </c>
    </row>
    <row r="434" spans="1:28" ht="16" x14ac:dyDescent="0.2">
      <c r="A434" s="10" t="s">
        <v>737</v>
      </c>
      <c r="B434" s="39">
        <v>332.75</v>
      </c>
      <c r="C434" s="13">
        <v>53</v>
      </c>
      <c r="AA434" s="8">
        <f t="shared" si="13"/>
        <v>433</v>
      </c>
      <c r="AB434" s="8">
        <v>0.59781273826877401</v>
      </c>
    </row>
    <row r="435" spans="1:28" ht="32" x14ac:dyDescent="0.2">
      <c r="A435" s="10" t="s">
        <v>738</v>
      </c>
      <c r="B435" s="39">
        <v>484</v>
      </c>
      <c r="C435" s="13">
        <v>53</v>
      </c>
      <c r="AA435" s="8">
        <f t="shared" si="13"/>
        <v>434</v>
      </c>
      <c r="AB435" s="8">
        <v>0.59781273826877401</v>
      </c>
    </row>
    <row r="436" spans="1:28" ht="48" x14ac:dyDescent="0.2">
      <c r="A436" s="10" t="s">
        <v>763</v>
      </c>
      <c r="B436" s="39">
        <v>237.65</v>
      </c>
      <c r="C436" s="13">
        <v>53</v>
      </c>
      <c r="AA436" s="8">
        <f t="shared" si="13"/>
        <v>435</v>
      </c>
      <c r="AB436" s="8">
        <v>0.59781273826877401</v>
      </c>
    </row>
    <row r="437" spans="1:28" ht="32" x14ac:dyDescent="0.2">
      <c r="A437" s="10" t="s">
        <v>788</v>
      </c>
      <c r="B437" s="39">
        <v>2399.7600000000002</v>
      </c>
      <c r="C437" s="13">
        <v>53</v>
      </c>
      <c r="AA437" s="8">
        <f t="shared" si="13"/>
        <v>436</v>
      </c>
      <c r="AB437" s="8">
        <v>0.59781273826877401</v>
      </c>
    </row>
    <row r="438" spans="1:28" ht="32" x14ac:dyDescent="0.2">
      <c r="A438" s="10" t="s">
        <v>789</v>
      </c>
      <c r="B438" s="39">
        <v>1642.68</v>
      </c>
      <c r="C438" s="13">
        <v>53</v>
      </c>
      <c r="AA438" s="8">
        <f t="shared" si="13"/>
        <v>437</v>
      </c>
      <c r="AB438" s="8">
        <v>0.59781273826877401</v>
      </c>
    </row>
    <row r="439" spans="1:28" ht="32" x14ac:dyDescent="0.2">
      <c r="A439" s="10" t="s">
        <v>790</v>
      </c>
      <c r="B439" s="39">
        <v>1537.92</v>
      </c>
      <c r="C439" s="13">
        <v>53</v>
      </c>
      <c r="AA439" s="8">
        <f t="shared" si="13"/>
        <v>438</v>
      </c>
      <c r="AB439" s="8">
        <v>0.59781273826877401</v>
      </c>
    </row>
    <row r="440" spans="1:28" ht="32" x14ac:dyDescent="0.2">
      <c r="A440" s="10" t="s">
        <v>791</v>
      </c>
      <c r="B440" s="39">
        <v>414.88</v>
      </c>
      <c r="C440" s="13">
        <v>53</v>
      </c>
      <c r="AA440" s="8">
        <f t="shared" si="13"/>
        <v>439</v>
      </c>
      <c r="AB440" s="8">
        <v>0.59781273826877401</v>
      </c>
    </row>
    <row r="441" spans="1:28" ht="16" x14ac:dyDescent="0.2">
      <c r="A441" s="10" t="s">
        <v>737</v>
      </c>
      <c r="B441" s="39">
        <v>3511.3</v>
      </c>
      <c r="C441" s="13">
        <v>53</v>
      </c>
      <c r="AA441" s="8">
        <f t="shared" si="13"/>
        <v>440</v>
      </c>
      <c r="AB441" s="8">
        <v>0.59781273826877401</v>
      </c>
    </row>
    <row r="442" spans="1:28" ht="16" x14ac:dyDescent="0.2">
      <c r="A442" s="10" t="s">
        <v>792</v>
      </c>
      <c r="B442" s="39">
        <v>1966.25</v>
      </c>
      <c r="C442" s="13">
        <v>53</v>
      </c>
      <c r="AA442" s="8">
        <f t="shared" si="13"/>
        <v>441</v>
      </c>
      <c r="AB442" s="8">
        <v>0.59781273826877401</v>
      </c>
    </row>
    <row r="443" spans="1:28" ht="16" x14ac:dyDescent="0.2">
      <c r="A443" s="10" t="s">
        <v>751</v>
      </c>
      <c r="B443" s="39">
        <v>777.84</v>
      </c>
      <c r="C443" s="13">
        <v>53</v>
      </c>
      <c r="AA443" s="8">
        <f t="shared" si="13"/>
        <v>442</v>
      </c>
      <c r="AB443" s="8">
        <v>0.59781273826877401</v>
      </c>
    </row>
    <row r="444" spans="1:28" ht="16" x14ac:dyDescent="0.2">
      <c r="A444" s="10" t="s">
        <v>793</v>
      </c>
      <c r="B444" s="39">
        <v>123.15</v>
      </c>
      <c r="C444" s="13">
        <v>53</v>
      </c>
      <c r="AA444" s="8">
        <f t="shared" si="13"/>
        <v>443</v>
      </c>
      <c r="AB444" s="8">
        <v>0.59781273826877401</v>
      </c>
    </row>
    <row r="445" spans="1:28" ht="32" x14ac:dyDescent="0.2">
      <c r="A445" s="10" t="s">
        <v>738</v>
      </c>
      <c r="B445" s="39">
        <v>729.27</v>
      </c>
      <c r="C445" s="13">
        <v>53</v>
      </c>
      <c r="AA445" s="8">
        <f t="shared" si="13"/>
        <v>444</v>
      </c>
      <c r="AB445" s="8">
        <v>0.59781273826877401</v>
      </c>
    </row>
    <row r="446" spans="1:28" ht="32" x14ac:dyDescent="0.2">
      <c r="A446" s="10" t="s">
        <v>794</v>
      </c>
      <c r="B446" s="39">
        <v>544.5</v>
      </c>
      <c r="C446" s="13">
        <v>53</v>
      </c>
      <c r="AA446" s="8">
        <f t="shared" si="13"/>
        <v>445</v>
      </c>
      <c r="AB446" s="8">
        <v>0.59781273826877401</v>
      </c>
    </row>
    <row r="447" spans="1:28" ht="32" x14ac:dyDescent="0.2">
      <c r="A447" s="10" t="s">
        <v>752</v>
      </c>
      <c r="B447" s="39">
        <v>453.74</v>
      </c>
      <c r="C447" s="13">
        <v>53</v>
      </c>
      <c r="AA447" s="8">
        <f t="shared" si="13"/>
        <v>446</v>
      </c>
      <c r="AB447" s="8">
        <v>0.59781273826877401</v>
      </c>
    </row>
    <row r="448" spans="1:28" ht="32" x14ac:dyDescent="0.2">
      <c r="A448" s="10" t="s">
        <v>795</v>
      </c>
      <c r="B448" s="39">
        <v>233.34</v>
      </c>
      <c r="C448" s="13">
        <v>53</v>
      </c>
      <c r="AA448" s="8">
        <f t="shared" si="13"/>
        <v>447</v>
      </c>
      <c r="AB448" s="8">
        <v>0.59781273826877401</v>
      </c>
    </row>
    <row r="449" spans="1:28" ht="32" x14ac:dyDescent="0.2">
      <c r="A449" s="10" t="s">
        <v>796</v>
      </c>
      <c r="B449" s="39">
        <v>529.34</v>
      </c>
      <c r="C449" s="13">
        <v>53</v>
      </c>
      <c r="AA449" s="8">
        <f t="shared" si="13"/>
        <v>448</v>
      </c>
      <c r="AB449" s="8">
        <v>0.59781273826877401</v>
      </c>
    </row>
    <row r="450" spans="1:28" ht="32" x14ac:dyDescent="0.2">
      <c r="A450" s="10" t="s">
        <v>797</v>
      </c>
      <c r="B450" s="39">
        <v>75.62</v>
      </c>
      <c r="C450" s="13">
        <v>53</v>
      </c>
      <c r="AA450" s="8">
        <f t="shared" si="13"/>
        <v>449</v>
      </c>
      <c r="AB450" s="8">
        <v>0.59781273826877401</v>
      </c>
    </row>
    <row r="451" spans="1:28" ht="32" x14ac:dyDescent="0.2">
      <c r="A451" s="10" t="s">
        <v>798</v>
      </c>
      <c r="B451" s="39">
        <v>492.6</v>
      </c>
      <c r="C451" s="13">
        <v>53</v>
      </c>
      <c r="AA451" s="8">
        <f t="shared" si="13"/>
        <v>450</v>
      </c>
      <c r="AB451" s="8">
        <v>0.59781273826877401</v>
      </c>
    </row>
    <row r="452" spans="1:28" ht="32" x14ac:dyDescent="0.2">
      <c r="A452" s="10" t="s">
        <v>799</v>
      </c>
      <c r="B452" s="39">
        <v>49.69</v>
      </c>
      <c r="C452" s="13">
        <v>53</v>
      </c>
      <c r="AA452" s="8">
        <f t="shared" ref="AA452:AA515" si="14">AA451+1</f>
        <v>451</v>
      </c>
      <c r="AB452" s="8">
        <v>0.59781273826877401</v>
      </c>
    </row>
    <row r="453" spans="1:28" ht="32" x14ac:dyDescent="0.2">
      <c r="A453" s="10" t="s">
        <v>800</v>
      </c>
      <c r="B453" s="39">
        <v>264.67</v>
      </c>
      <c r="C453" s="13">
        <v>53</v>
      </c>
      <c r="AA453" s="8">
        <f t="shared" si="14"/>
        <v>452</v>
      </c>
      <c r="AB453" s="8">
        <v>0.59781273826877401</v>
      </c>
    </row>
    <row r="454" spans="1:28" ht="32" x14ac:dyDescent="0.2">
      <c r="A454" s="10" t="s">
        <v>801</v>
      </c>
      <c r="B454" s="39">
        <v>205.25</v>
      </c>
      <c r="C454" s="13">
        <v>53</v>
      </c>
      <c r="AA454" s="8">
        <f t="shared" si="14"/>
        <v>453</v>
      </c>
      <c r="AB454" s="8">
        <v>0.59781273826877401</v>
      </c>
    </row>
    <row r="455" spans="1:28" ht="48" x14ac:dyDescent="0.2">
      <c r="A455" s="10" t="s">
        <v>802</v>
      </c>
      <c r="B455" s="39">
        <v>1188.25</v>
      </c>
      <c r="C455" s="13">
        <v>53</v>
      </c>
      <c r="AA455" s="8">
        <f t="shared" si="14"/>
        <v>454</v>
      </c>
      <c r="AB455" s="8">
        <v>0.59781273826877401</v>
      </c>
    </row>
    <row r="456" spans="1:28" ht="48" x14ac:dyDescent="0.2">
      <c r="A456" s="10" t="s">
        <v>803</v>
      </c>
      <c r="B456" s="39">
        <v>237.66</v>
      </c>
      <c r="C456" s="13">
        <v>53</v>
      </c>
      <c r="AA456" s="8">
        <f t="shared" si="14"/>
        <v>455</v>
      </c>
      <c r="AB456" s="8">
        <v>0.59781273826877401</v>
      </c>
    </row>
    <row r="457" spans="1:28" ht="32" x14ac:dyDescent="0.2">
      <c r="A457" s="10" t="s">
        <v>804</v>
      </c>
      <c r="B457" s="39">
        <v>1798.57</v>
      </c>
      <c r="C457" s="13">
        <v>53</v>
      </c>
      <c r="AA457" s="8">
        <f t="shared" si="14"/>
        <v>456</v>
      </c>
      <c r="AB457" s="8">
        <v>0.59781273826877401</v>
      </c>
    </row>
    <row r="458" spans="1:28" ht="32" x14ac:dyDescent="0.2">
      <c r="A458" s="10" t="s">
        <v>805</v>
      </c>
      <c r="B458" s="39">
        <v>1159.21</v>
      </c>
      <c r="C458" s="13">
        <v>53</v>
      </c>
      <c r="AA458" s="8">
        <f t="shared" si="14"/>
        <v>457</v>
      </c>
      <c r="AB458" s="8">
        <v>0.59781273826877401</v>
      </c>
    </row>
    <row r="459" spans="1:28" ht="48" x14ac:dyDescent="0.2">
      <c r="A459" s="10" t="s">
        <v>371</v>
      </c>
      <c r="B459" s="39">
        <v>194.4</v>
      </c>
      <c r="C459" s="13">
        <v>56</v>
      </c>
      <c r="AA459" s="8">
        <f t="shared" si="14"/>
        <v>458</v>
      </c>
      <c r="AB459" s="8">
        <v>0.59781273826877401</v>
      </c>
    </row>
    <row r="460" spans="1:28" ht="48" x14ac:dyDescent="0.2">
      <c r="A460" s="10" t="s">
        <v>372</v>
      </c>
      <c r="B460" s="39">
        <v>141.69999999999999</v>
      </c>
      <c r="C460" s="13">
        <v>56</v>
      </c>
      <c r="AA460" s="8">
        <f t="shared" si="14"/>
        <v>459</v>
      </c>
      <c r="AB460" s="8">
        <v>0.59781273826877401</v>
      </c>
    </row>
    <row r="461" spans="1:28" ht="48" x14ac:dyDescent="0.2">
      <c r="A461" s="10" t="s">
        <v>373</v>
      </c>
      <c r="B461" s="39">
        <v>203.94</v>
      </c>
      <c r="C461" s="13">
        <v>56</v>
      </c>
      <c r="AA461" s="8">
        <f t="shared" si="14"/>
        <v>460</v>
      </c>
      <c r="AB461" s="8">
        <v>0.59781273826877401</v>
      </c>
    </row>
    <row r="462" spans="1:28" ht="48" x14ac:dyDescent="0.2">
      <c r="A462" s="10" t="s">
        <v>374</v>
      </c>
      <c r="B462" s="39">
        <v>1500</v>
      </c>
      <c r="C462" s="13">
        <v>56</v>
      </c>
      <c r="AA462" s="8">
        <f t="shared" si="14"/>
        <v>461</v>
      </c>
      <c r="AB462" s="8">
        <v>0.59781273826877401</v>
      </c>
    </row>
    <row r="463" spans="1:28" ht="64" x14ac:dyDescent="0.2">
      <c r="A463" s="10" t="s">
        <v>375</v>
      </c>
      <c r="B463" s="39">
        <v>387</v>
      </c>
      <c r="C463" s="13">
        <v>56</v>
      </c>
      <c r="AA463" s="8">
        <f t="shared" si="14"/>
        <v>462</v>
      </c>
      <c r="AB463" s="8">
        <v>0.59781273826877401</v>
      </c>
    </row>
    <row r="464" spans="1:28" ht="80" x14ac:dyDescent="0.2">
      <c r="A464" s="10" t="s">
        <v>376</v>
      </c>
      <c r="B464" s="39">
        <v>100.05</v>
      </c>
      <c r="C464" s="13">
        <v>56</v>
      </c>
      <c r="AA464" s="8">
        <f t="shared" si="14"/>
        <v>463</v>
      </c>
      <c r="AB464" s="8">
        <v>0.59781273826877401</v>
      </c>
    </row>
    <row r="465" spans="1:28" ht="48" x14ac:dyDescent="0.2">
      <c r="A465" s="10" t="s">
        <v>377</v>
      </c>
      <c r="B465" s="39">
        <v>304.41000000000003</v>
      </c>
      <c r="C465" s="13">
        <v>56</v>
      </c>
      <c r="AA465" s="8">
        <f t="shared" si="14"/>
        <v>464</v>
      </c>
      <c r="AB465" s="8">
        <v>0.59781273826877401</v>
      </c>
    </row>
    <row r="466" spans="1:28" ht="32" x14ac:dyDescent="0.2">
      <c r="A466" s="10" t="s">
        <v>483</v>
      </c>
      <c r="B466" s="39">
        <v>15243.8</v>
      </c>
      <c r="C466" s="13">
        <v>56</v>
      </c>
      <c r="AA466" s="8">
        <f t="shared" si="14"/>
        <v>465</v>
      </c>
      <c r="AB466" s="8">
        <v>0.59781273826877401</v>
      </c>
    </row>
    <row r="467" spans="1:28" ht="48" x14ac:dyDescent="0.2">
      <c r="A467" s="10" t="s">
        <v>484</v>
      </c>
      <c r="B467" s="39">
        <v>1123.4000000000001</v>
      </c>
      <c r="C467" s="13">
        <v>56</v>
      </c>
      <c r="AA467" s="8">
        <f t="shared" si="14"/>
        <v>466</v>
      </c>
      <c r="AB467" s="8">
        <v>0.59781273826877401</v>
      </c>
    </row>
    <row r="468" spans="1:28" ht="48" x14ac:dyDescent="0.2">
      <c r="A468" s="10" t="s">
        <v>485</v>
      </c>
      <c r="B468" s="39">
        <v>6786.5</v>
      </c>
      <c r="C468" s="13">
        <v>56</v>
      </c>
      <c r="AA468" s="8">
        <f t="shared" si="14"/>
        <v>467</v>
      </c>
      <c r="AB468" s="8">
        <v>0.59781273826877401</v>
      </c>
    </row>
    <row r="469" spans="1:28" ht="64" x14ac:dyDescent="0.2">
      <c r="A469" s="10" t="s">
        <v>486</v>
      </c>
      <c r="B469" s="39">
        <v>2368</v>
      </c>
      <c r="C469" s="13">
        <v>56</v>
      </c>
      <c r="AA469" s="8">
        <f t="shared" si="14"/>
        <v>468</v>
      </c>
      <c r="AB469" s="8">
        <v>0.59781273826877401</v>
      </c>
    </row>
    <row r="470" spans="1:28" ht="48" x14ac:dyDescent="0.2">
      <c r="A470" s="10" t="s">
        <v>177</v>
      </c>
      <c r="B470" s="39">
        <v>6102.57</v>
      </c>
      <c r="C470" s="13">
        <v>60</v>
      </c>
      <c r="AA470" s="8">
        <f t="shared" si="14"/>
        <v>469</v>
      </c>
      <c r="AB470" s="8">
        <v>0.59781273826877401</v>
      </c>
    </row>
    <row r="471" spans="1:28" ht="48" x14ac:dyDescent="0.2">
      <c r="A471" s="10" t="s">
        <v>178</v>
      </c>
      <c r="B471" s="39">
        <v>900.11</v>
      </c>
      <c r="C471" s="13">
        <v>60</v>
      </c>
      <c r="AA471" s="8">
        <f t="shared" si="14"/>
        <v>470</v>
      </c>
      <c r="AB471" s="8">
        <v>0.59781273826877401</v>
      </c>
    </row>
    <row r="472" spans="1:28" ht="48" x14ac:dyDescent="0.2">
      <c r="A472" s="10" t="s">
        <v>179</v>
      </c>
      <c r="B472" s="39">
        <v>5615.95</v>
      </c>
      <c r="C472" s="13">
        <v>60</v>
      </c>
      <c r="AA472" s="8">
        <f t="shared" si="14"/>
        <v>471</v>
      </c>
      <c r="AB472" s="8">
        <v>0.59781273826877401</v>
      </c>
    </row>
    <row r="473" spans="1:28" ht="48" x14ac:dyDescent="0.2">
      <c r="A473" s="10" t="s">
        <v>180</v>
      </c>
      <c r="B473" s="39">
        <v>8887.0300000000007</v>
      </c>
      <c r="C473" s="13">
        <v>60</v>
      </c>
      <c r="AA473" s="8">
        <f t="shared" si="14"/>
        <v>472</v>
      </c>
      <c r="AB473" s="8">
        <v>0.59781273826877401</v>
      </c>
    </row>
    <row r="474" spans="1:28" ht="48" x14ac:dyDescent="0.2">
      <c r="A474" s="10" t="s">
        <v>181</v>
      </c>
      <c r="B474" s="39">
        <v>8608</v>
      </c>
      <c r="C474" s="13">
        <v>60</v>
      </c>
      <c r="AA474" s="8">
        <f t="shared" si="14"/>
        <v>473</v>
      </c>
      <c r="AB474" s="8">
        <v>0.59781273826877401</v>
      </c>
    </row>
    <row r="475" spans="1:28" ht="112" x14ac:dyDescent="0.2">
      <c r="A475" s="10" t="s">
        <v>225</v>
      </c>
      <c r="B475" s="39">
        <v>2253</v>
      </c>
      <c r="C475" s="13">
        <v>60</v>
      </c>
      <c r="AA475" s="8">
        <f t="shared" si="14"/>
        <v>474</v>
      </c>
      <c r="AB475" s="8">
        <v>0.59781273826877401</v>
      </c>
    </row>
    <row r="476" spans="1:28" ht="112" x14ac:dyDescent="0.2">
      <c r="A476" s="10" t="s">
        <v>226</v>
      </c>
      <c r="B476" s="39">
        <v>2343</v>
      </c>
      <c r="C476" s="13">
        <v>60</v>
      </c>
      <c r="AA476" s="8">
        <f t="shared" si="14"/>
        <v>475</v>
      </c>
      <c r="AB476" s="8">
        <v>0.59781273826877401</v>
      </c>
    </row>
    <row r="477" spans="1:28" ht="112" x14ac:dyDescent="0.2">
      <c r="A477" s="10" t="s">
        <v>227</v>
      </c>
      <c r="B477" s="39">
        <v>2178</v>
      </c>
      <c r="C477" s="13">
        <v>60</v>
      </c>
      <c r="AA477" s="8">
        <f t="shared" si="14"/>
        <v>476</v>
      </c>
      <c r="AB477" s="8">
        <v>0.59781273826877401</v>
      </c>
    </row>
    <row r="478" spans="1:28" ht="112" x14ac:dyDescent="0.2">
      <c r="A478" s="10" t="s">
        <v>228</v>
      </c>
      <c r="B478" s="39">
        <v>2178</v>
      </c>
      <c r="C478" s="13">
        <v>60</v>
      </c>
      <c r="AA478" s="8">
        <f t="shared" si="14"/>
        <v>477</v>
      </c>
      <c r="AB478" s="8">
        <v>0.59781273826877401</v>
      </c>
    </row>
    <row r="479" spans="1:28" ht="112" x14ac:dyDescent="0.2">
      <c r="A479" s="10" t="s">
        <v>229</v>
      </c>
      <c r="B479" s="39">
        <v>3052</v>
      </c>
      <c r="C479" s="13">
        <v>60</v>
      </c>
      <c r="AA479" s="8">
        <f t="shared" si="14"/>
        <v>478</v>
      </c>
      <c r="AB479" s="8">
        <v>0.59781273826877401</v>
      </c>
    </row>
    <row r="480" spans="1:28" ht="112" x14ac:dyDescent="0.2">
      <c r="A480" s="10" t="s">
        <v>230</v>
      </c>
      <c r="B480" s="39">
        <v>24</v>
      </c>
      <c r="C480" s="13">
        <v>60</v>
      </c>
      <c r="AA480" s="8">
        <f t="shared" si="14"/>
        <v>479</v>
      </c>
      <c r="AB480" s="8">
        <v>0.59781273826877401</v>
      </c>
    </row>
    <row r="481" spans="1:28" ht="112" x14ac:dyDescent="0.2">
      <c r="A481" s="10" t="s">
        <v>231</v>
      </c>
      <c r="B481" s="39">
        <v>30</v>
      </c>
      <c r="C481" s="13">
        <v>60</v>
      </c>
      <c r="AA481" s="8">
        <f t="shared" si="14"/>
        <v>480</v>
      </c>
      <c r="AB481" s="8">
        <v>0.59781273826877401</v>
      </c>
    </row>
    <row r="482" spans="1:28" ht="112" x14ac:dyDescent="0.2">
      <c r="A482" s="10" t="s">
        <v>232</v>
      </c>
      <c r="B482" s="39">
        <v>30</v>
      </c>
      <c r="C482" s="13">
        <v>60</v>
      </c>
      <c r="AA482" s="8">
        <f t="shared" si="14"/>
        <v>481</v>
      </c>
      <c r="AB482" s="8">
        <v>0.59781273826877401</v>
      </c>
    </row>
    <row r="483" spans="1:28" ht="48" x14ac:dyDescent="0.2">
      <c r="A483" s="10" t="s">
        <v>235</v>
      </c>
      <c r="B483" s="39">
        <v>1161</v>
      </c>
      <c r="C483" s="13">
        <v>60</v>
      </c>
      <c r="AA483" s="8">
        <f t="shared" si="14"/>
        <v>482</v>
      </c>
      <c r="AB483" s="8">
        <v>0.59781273826877401</v>
      </c>
    </row>
    <row r="484" spans="1:28" ht="32" x14ac:dyDescent="0.2">
      <c r="A484" s="10" t="s">
        <v>236</v>
      </c>
      <c r="B484" s="39">
        <v>384</v>
      </c>
      <c r="C484" s="13">
        <v>60</v>
      </c>
      <c r="AA484" s="8">
        <f t="shared" si="14"/>
        <v>483</v>
      </c>
      <c r="AB484" s="8">
        <v>0.59781273826877401</v>
      </c>
    </row>
    <row r="485" spans="1:28" ht="96" x14ac:dyDescent="0.2">
      <c r="A485" s="10" t="s">
        <v>254</v>
      </c>
      <c r="B485" s="39">
        <v>1960</v>
      </c>
      <c r="C485" s="13">
        <v>60</v>
      </c>
      <c r="AA485" s="8">
        <f t="shared" si="14"/>
        <v>484</v>
      </c>
      <c r="AB485" s="8">
        <v>0.59781273826877401</v>
      </c>
    </row>
    <row r="486" spans="1:28" ht="96" x14ac:dyDescent="0.2">
      <c r="A486" s="10" t="s">
        <v>255</v>
      </c>
      <c r="B486" s="39">
        <v>5839.68</v>
      </c>
      <c r="C486" s="13">
        <v>60</v>
      </c>
      <c r="AA486" s="8">
        <f t="shared" si="14"/>
        <v>485</v>
      </c>
      <c r="AB486" s="8">
        <v>0.59781273826877401</v>
      </c>
    </row>
    <row r="487" spans="1:28" ht="112" x14ac:dyDescent="0.2">
      <c r="A487" s="10" t="s">
        <v>256</v>
      </c>
      <c r="B487" s="39">
        <v>4121.25</v>
      </c>
      <c r="C487" s="13">
        <v>60</v>
      </c>
      <c r="AA487" s="8">
        <f t="shared" si="14"/>
        <v>486</v>
      </c>
      <c r="AB487" s="8">
        <v>0.59781273826877401</v>
      </c>
    </row>
    <row r="488" spans="1:28" ht="96" x14ac:dyDescent="0.2">
      <c r="A488" s="10" t="s">
        <v>257</v>
      </c>
      <c r="B488" s="39">
        <v>2894.32</v>
      </c>
      <c r="C488" s="13">
        <v>60</v>
      </c>
      <c r="AA488" s="8">
        <f t="shared" si="14"/>
        <v>487</v>
      </c>
      <c r="AB488" s="8">
        <v>0.59781273826877401</v>
      </c>
    </row>
    <row r="489" spans="1:28" ht="96" x14ac:dyDescent="0.2">
      <c r="A489" s="10" t="s">
        <v>273</v>
      </c>
      <c r="B489" s="39">
        <v>795</v>
      </c>
      <c r="C489" s="13">
        <v>60</v>
      </c>
      <c r="AA489" s="8">
        <f t="shared" si="14"/>
        <v>488</v>
      </c>
      <c r="AB489" s="8">
        <v>0.59781273826877401</v>
      </c>
    </row>
    <row r="490" spans="1:28" ht="96" x14ac:dyDescent="0.2">
      <c r="A490" s="10" t="s">
        <v>274</v>
      </c>
      <c r="B490" s="39">
        <v>231</v>
      </c>
      <c r="C490" s="13">
        <v>60</v>
      </c>
      <c r="AA490" s="8">
        <f t="shared" si="14"/>
        <v>489</v>
      </c>
      <c r="AB490" s="8">
        <v>0.59781273826877401</v>
      </c>
    </row>
    <row r="491" spans="1:28" ht="96" x14ac:dyDescent="0.2">
      <c r="A491" s="10" t="s">
        <v>275</v>
      </c>
      <c r="B491" s="39">
        <v>1386</v>
      </c>
      <c r="C491" s="13">
        <v>60</v>
      </c>
      <c r="AA491" s="8">
        <f t="shared" si="14"/>
        <v>490</v>
      </c>
      <c r="AB491" s="8">
        <v>0.59781273826877401</v>
      </c>
    </row>
    <row r="492" spans="1:28" ht="96" x14ac:dyDescent="0.2">
      <c r="A492" s="10" t="s">
        <v>276</v>
      </c>
      <c r="B492" s="39">
        <v>305</v>
      </c>
      <c r="C492" s="13">
        <v>60</v>
      </c>
      <c r="AA492" s="8">
        <f t="shared" si="14"/>
        <v>491</v>
      </c>
      <c r="AB492" s="8">
        <v>0.59781273826877401</v>
      </c>
    </row>
    <row r="493" spans="1:28" ht="96" x14ac:dyDescent="0.2">
      <c r="A493" s="10" t="s">
        <v>277</v>
      </c>
      <c r="B493" s="39">
        <v>3726</v>
      </c>
      <c r="C493" s="13">
        <v>60</v>
      </c>
      <c r="AA493" s="8">
        <f t="shared" si="14"/>
        <v>492</v>
      </c>
      <c r="AB493" s="8">
        <v>0.59781273826877401</v>
      </c>
    </row>
    <row r="494" spans="1:28" ht="48" x14ac:dyDescent="0.2">
      <c r="A494" s="10" t="s">
        <v>278</v>
      </c>
      <c r="B494" s="39">
        <v>4416</v>
      </c>
      <c r="C494" s="13">
        <v>60</v>
      </c>
      <c r="AA494" s="8">
        <f t="shared" si="14"/>
        <v>493</v>
      </c>
      <c r="AB494" s="8">
        <v>0.59781273826877401</v>
      </c>
    </row>
    <row r="495" spans="1:28" ht="80" x14ac:dyDescent="0.2">
      <c r="A495" s="10" t="s">
        <v>341</v>
      </c>
      <c r="B495" s="39">
        <v>3153.7</v>
      </c>
      <c r="C495" s="13">
        <v>60</v>
      </c>
      <c r="AA495" s="8">
        <f t="shared" si="14"/>
        <v>494</v>
      </c>
      <c r="AB495" s="8">
        <v>0.59781273826877401</v>
      </c>
    </row>
    <row r="496" spans="1:28" ht="80" x14ac:dyDescent="0.2">
      <c r="A496" s="10" t="s">
        <v>342</v>
      </c>
      <c r="B496" s="39">
        <v>2522</v>
      </c>
      <c r="C496" s="13">
        <v>60</v>
      </c>
      <c r="AA496" s="8">
        <f t="shared" si="14"/>
        <v>495</v>
      </c>
      <c r="AB496" s="8">
        <v>0.59781273826877401</v>
      </c>
    </row>
    <row r="497" spans="1:28" ht="80" x14ac:dyDescent="0.2">
      <c r="A497" s="10" t="s">
        <v>343</v>
      </c>
      <c r="B497" s="39">
        <v>540</v>
      </c>
      <c r="C497" s="13">
        <v>60</v>
      </c>
      <c r="AA497" s="8">
        <f t="shared" si="14"/>
        <v>496</v>
      </c>
      <c r="AB497" s="8">
        <v>0.59781273826877401</v>
      </c>
    </row>
    <row r="498" spans="1:28" ht="96" x14ac:dyDescent="0.2">
      <c r="A498" s="10" t="s">
        <v>344</v>
      </c>
      <c r="B498" s="39">
        <v>855</v>
      </c>
      <c r="C498" s="13">
        <v>60</v>
      </c>
      <c r="AA498" s="8">
        <f t="shared" si="14"/>
        <v>497</v>
      </c>
      <c r="AB498" s="8">
        <v>0.59781273826877401</v>
      </c>
    </row>
    <row r="499" spans="1:28" ht="96" x14ac:dyDescent="0.2">
      <c r="A499" s="10" t="s">
        <v>345</v>
      </c>
      <c r="B499" s="39">
        <v>828</v>
      </c>
      <c r="C499" s="13">
        <v>60</v>
      </c>
      <c r="AA499" s="8">
        <f t="shared" si="14"/>
        <v>498</v>
      </c>
      <c r="AB499" s="8">
        <v>0.59781273826877401</v>
      </c>
    </row>
    <row r="500" spans="1:28" ht="96" x14ac:dyDescent="0.2">
      <c r="A500" s="10" t="s">
        <v>346</v>
      </c>
      <c r="B500" s="39">
        <v>2850</v>
      </c>
      <c r="C500" s="13">
        <v>60</v>
      </c>
      <c r="AA500" s="8">
        <f t="shared" si="14"/>
        <v>499</v>
      </c>
      <c r="AB500" s="8">
        <v>0.59781273826877401</v>
      </c>
    </row>
    <row r="501" spans="1:28" ht="96" x14ac:dyDescent="0.2">
      <c r="A501" s="10" t="s">
        <v>347</v>
      </c>
      <c r="B501" s="39">
        <v>315</v>
      </c>
      <c r="C501" s="13">
        <v>60</v>
      </c>
      <c r="AA501" s="8">
        <f t="shared" si="14"/>
        <v>500</v>
      </c>
      <c r="AB501" s="8">
        <v>0.59781273826877401</v>
      </c>
    </row>
    <row r="502" spans="1:28" ht="96" x14ac:dyDescent="0.2">
      <c r="A502" s="10" t="s">
        <v>348</v>
      </c>
      <c r="B502" s="39">
        <v>205</v>
      </c>
      <c r="C502" s="13">
        <v>60</v>
      </c>
      <c r="AA502" s="8">
        <f t="shared" si="14"/>
        <v>501</v>
      </c>
      <c r="AB502" s="8">
        <v>0.59781273826877401</v>
      </c>
    </row>
    <row r="503" spans="1:28" ht="96" x14ac:dyDescent="0.2">
      <c r="A503" s="10" t="s">
        <v>349</v>
      </c>
      <c r="B503" s="39">
        <v>848</v>
      </c>
      <c r="C503" s="13">
        <v>60</v>
      </c>
      <c r="AA503" s="8">
        <f t="shared" si="14"/>
        <v>502</v>
      </c>
      <c r="AB503" s="8">
        <v>0.59781273826877401</v>
      </c>
    </row>
    <row r="504" spans="1:28" ht="96" x14ac:dyDescent="0.2">
      <c r="A504" s="10" t="s">
        <v>350</v>
      </c>
      <c r="B504" s="39">
        <v>310</v>
      </c>
      <c r="C504" s="13">
        <v>60</v>
      </c>
      <c r="AA504" s="8">
        <f t="shared" si="14"/>
        <v>503</v>
      </c>
      <c r="AB504" s="8">
        <v>0.59781273826877401</v>
      </c>
    </row>
    <row r="505" spans="1:28" ht="16" x14ac:dyDescent="0.2">
      <c r="A505" s="10" t="s">
        <v>685</v>
      </c>
      <c r="B505" s="39">
        <v>66611.92</v>
      </c>
      <c r="C505" s="13">
        <v>60</v>
      </c>
      <c r="AA505" s="8">
        <f t="shared" si="14"/>
        <v>504</v>
      </c>
      <c r="AB505" s="8">
        <v>0.59781273826877401</v>
      </c>
    </row>
    <row r="506" spans="1:28" ht="16" x14ac:dyDescent="0.2">
      <c r="A506" s="10" t="s">
        <v>686</v>
      </c>
      <c r="B506" s="39">
        <v>8725.56</v>
      </c>
      <c r="C506" s="13">
        <v>60</v>
      </c>
      <c r="AA506" s="8">
        <f t="shared" si="14"/>
        <v>505</v>
      </c>
      <c r="AB506" s="8">
        <v>0.59781273826877401</v>
      </c>
    </row>
    <row r="507" spans="1:28" ht="16" x14ac:dyDescent="0.2">
      <c r="A507" s="10" t="s">
        <v>687</v>
      </c>
      <c r="B507" s="39">
        <v>2917.08</v>
      </c>
      <c r="C507" s="13">
        <v>60</v>
      </c>
      <c r="AA507" s="8">
        <f t="shared" si="14"/>
        <v>506</v>
      </c>
      <c r="AB507" s="8">
        <v>0.59781273826877401</v>
      </c>
    </row>
    <row r="508" spans="1:28" ht="64" x14ac:dyDescent="0.2">
      <c r="A508" s="10" t="s">
        <v>771</v>
      </c>
      <c r="B508" s="39">
        <v>5482.4</v>
      </c>
      <c r="C508" s="13">
        <v>60</v>
      </c>
      <c r="AA508" s="8">
        <f t="shared" si="14"/>
        <v>507</v>
      </c>
      <c r="AB508" s="8">
        <v>0.59781273826877401</v>
      </c>
    </row>
    <row r="509" spans="1:28" ht="16" x14ac:dyDescent="0.2">
      <c r="A509" s="10" t="s">
        <v>772</v>
      </c>
      <c r="B509" s="39">
        <v>702.26</v>
      </c>
      <c r="C509" s="13">
        <v>60</v>
      </c>
      <c r="AA509" s="8">
        <f t="shared" si="14"/>
        <v>508</v>
      </c>
      <c r="AB509" s="8">
        <v>0.59781273826877401</v>
      </c>
    </row>
    <row r="510" spans="1:28" ht="32" x14ac:dyDescent="0.2">
      <c r="A510" s="10" t="s">
        <v>773</v>
      </c>
      <c r="B510" s="39">
        <v>533.65</v>
      </c>
      <c r="C510" s="13">
        <v>60</v>
      </c>
      <c r="AA510" s="8">
        <f t="shared" si="14"/>
        <v>509</v>
      </c>
      <c r="AB510" s="8">
        <v>0.59781273826877401</v>
      </c>
    </row>
    <row r="511" spans="1:28" ht="48" x14ac:dyDescent="0.2">
      <c r="A511" s="10" t="s">
        <v>774</v>
      </c>
      <c r="B511" s="39">
        <v>3599.54</v>
      </c>
      <c r="C511" s="13">
        <v>60</v>
      </c>
      <c r="AA511" s="8">
        <f t="shared" si="14"/>
        <v>510</v>
      </c>
      <c r="AB511" s="8">
        <v>0.59781273826877401</v>
      </c>
    </row>
    <row r="512" spans="1:28" ht="96" x14ac:dyDescent="0.2">
      <c r="A512" s="10" t="s">
        <v>307</v>
      </c>
      <c r="B512" s="39">
        <v>2818</v>
      </c>
      <c r="C512" s="13">
        <v>62</v>
      </c>
      <c r="AA512" s="8">
        <f t="shared" si="14"/>
        <v>511</v>
      </c>
      <c r="AB512" s="8">
        <v>0.59781273826877401</v>
      </c>
    </row>
    <row r="513" spans="1:28" ht="80" x14ac:dyDescent="0.2">
      <c r="A513" s="10" t="s">
        <v>308</v>
      </c>
      <c r="B513" s="39">
        <v>2660</v>
      </c>
      <c r="C513" s="13">
        <v>62</v>
      </c>
      <c r="AA513" s="8">
        <f t="shared" si="14"/>
        <v>512</v>
      </c>
      <c r="AB513" s="8">
        <v>0.59781273826877401</v>
      </c>
    </row>
    <row r="514" spans="1:28" ht="80" x14ac:dyDescent="0.2">
      <c r="A514" s="10" t="s">
        <v>309</v>
      </c>
      <c r="B514" s="39">
        <v>2709</v>
      </c>
      <c r="C514" s="13">
        <v>62</v>
      </c>
      <c r="AA514" s="8">
        <f t="shared" si="14"/>
        <v>513</v>
      </c>
      <c r="AB514" s="8">
        <v>0.59781273826877401</v>
      </c>
    </row>
    <row r="515" spans="1:28" ht="80" x14ac:dyDescent="0.2">
      <c r="A515" s="10" t="s">
        <v>310</v>
      </c>
      <c r="B515" s="39">
        <v>2709</v>
      </c>
      <c r="C515" s="13">
        <v>62</v>
      </c>
      <c r="AA515" s="8">
        <f t="shared" si="14"/>
        <v>514</v>
      </c>
      <c r="AB515" s="8">
        <v>0.59781273826877401</v>
      </c>
    </row>
    <row r="516" spans="1:28" ht="80" x14ac:dyDescent="0.2">
      <c r="A516" s="10" t="s">
        <v>311</v>
      </c>
      <c r="B516" s="39">
        <v>3676</v>
      </c>
      <c r="C516" s="13">
        <v>62</v>
      </c>
      <c r="AA516" s="8">
        <f t="shared" ref="AA516:AA579" si="15">AA515+1</f>
        <v>515</v>
      </c>
      <c r="AB516" s="8">
        <v>0.59781273826877401</v>
      </c>
    </row>
    <row r="517" spans="1:28" ht="64" x14ac:dyDescent="0.2">
      <c r="A517" s="10" t="s">
        <v>734</v>
      </c>
      <c r="B517" s="39">
        <v>3694.74</v>
      </c>
      <c r="C517" s="13">
        <v>63</v>
      </c>
      <c r="AA517" s="8">
        <f t="shared" si="15"/>
        <v>516</v>
      </c>
      <c r="AB517" s="8">
        <v>0.59781273826877401</v>
      </c>
    </row>
    <row r="518" spans="1:28" ht="48" x14ac:dyDescent="0.2">
      <c r="A518" s="10" t="s">
        <v>735</v>
      </c>
      <c r="B518" s="39">
        <v>2956.02</v>
      </c>
      <c r="C518" s="13">
        <v>63</v>
      </c>
      <c r="AA518" s="8">
        <f t="shared" si="15"/>
        <v>517</v>
      </c>
      <c r="AB518" s="8">
        <v>0.59781273826877401</v>
      </c>
    </row>
    <row r="519" spans="1:28" ht="48" x14ac:dyDescent="0.2">
      <c r="A519" s="10" t="s">
        <v>288</v>
      </c>
      <c r="B519" s="39">
        <v>1025.5999999999999</v>
      </c>
      <c r="C519" s="13">
        <v>68</v>
      </c>
      <c r="AA519" s="8">
        <f t="shared" si="15"/>
        <v>518</v>
      </c>
      <c r="AB519" s="8">
        <v>0.59781273826877401</v>
      </c>
    </row>
    <row r="520" spans="1:28" ht="64" x14ac:dyDescent="0.2">
      <c r="A520" s="10" t="s">
        <v>289</v>
      </c>
      <c r="B520" s="39">
        <v>282.25</v>
      </c>
      <c r="C520" s="13">
        <v>68</v>
      </c>
      <c r="AA520" s="8">
        <f t="shared" si="15"/>
        <v>519</v>
      </c>
      <c r="AB520" s="8">
        <v>0.59781273826877401</v>
      </c>
    </row>
    <row r="521" spans="1:28" ht="112" x14ac:dyDescent="0.2">
      <c r="A521" s="10" t="s">
        <v>549</v>
      </c>
      <c r="B521" s="39">
        <v>3443.2</v>
      </c>
      <c r="C521" s="13">
        <v>68</v>
      </c>
      <c r="AA521" s="8">
        <f t="shared" si="15"/>
        <v>520</v>
      </c>
      <c r="AB521" s="8">
        <v>0.59781273826877401</v>
      </c>
    </row>
    <row r="522" spans="1:28" ht="112" x14ac:dyDescent="0.2">
      <c r="A522" s="10" t="s">
        <v>550</v>
      </c>
      <c r="B522" s="39">
        <v>644.49</v>
      </c>
      <c r="C522" s="13">
        <v>68</v>
      </c>
      <c r="AA522" s="8">
        <f t="shared" si="15"/>
        <v>521</v>
      </c>
      <c r="AB522" s="8">
        <v>0.59781273826877401</v>
      </c>
    </row>
    <row r="523" spans="1:28" ht="16" x14ac:dyDescent="0.2">
      <c r="A523" s="10" t="s">
        <v>582</v>
      </c>
      <c r="B523" s="39">
        <v>413.95</v>
      </c>
      <c r="C523" s="13">
        <v>68</v>
      </c>
      <c r="AA523" s="8">
        <f t="shared" si="15"/>
        <v>522</v>
      </c>
      <c r="AB523" s="8">
        <v>0.59781273826877401</v>
      </c>
    </row>
    <row r="524" spans="1:28" ht="48" x14ac:dyDescent="0.2">
      <c r="A524" s="10" t="s">
        <v>173</v>
      </c>
      <c r="B524" s="39">
        <v>190.16</v>
      </c>
      <c r="C524" s="13">
        <v>70</v>
      </c>
      <c r="AA524" s="8">
        <f t="shared" si="15"/>
        <v>523</v>
      </c>
      <c r="AB524" s="8">
        <v>0.59781273826877401</v>
      </c>
    </row>
    <row r="525" spans="1:28" ht="48" x14ac:dyDescent="0.2">
      <c r="A525" s="10" t="s">
        <v>174</v>
      </c>
      <c r="B525" s="39">
        <v>36360.5</v>
      </c>
      <c r="C525" s="13">
        <v>70</v>
      </c>
      <c r="AA525" s="8">
        <f t="shared" si="15"/>
        <v>524</v>
      </c>
      <c r="AB525" s="8">
        <v>0.59781273826877401</v>
      </c>
    </row>
    <row r="526" spans="1:28" ht="32" x14ac:dyDescent="0.2">
      <c r="A526" s="10" t="s">
        <v>681</v>
      </c>
      <c r="B526" s="39">
        <v>4801.54</v>
      </c>
      <c r="C526" s="13">
        <v>70</v>
      </c>
      <c r="AA526" s="8">
        <f t="shared" si="15"/>
        <v>525</v>
      </c>
      <c r="AB526" s="8">
        <v>0.59781273826877401</v>
      </c>
    </row>
    <row r="527" spans="1:28" ht="32" x14ac:dyDescent="0.2">
      <c r="A527" s="10" t="s">
        <v>682</v>
      </c>
      <c r="B527" s="39">
        <v>1400.22</v>
      </c>
      <c r="C527" s="13">
        <v>70</v>
      </c>
      <c r="AA527" s="8">
        <f t="shared" si="15"/>
        <v>526</v>
      </c>
      <c r="AB527" s="8">
        <v>0.59781273826877401</v>
      </c>
    </row>
    <row r="528" spans="1:28" ht="16" x14ac:dyDescent="0.2">
      <c r="A528" s="10" t="s">
        <v>683</v>
      </c>
      <c r="B528" s="39">
        <v>1909.44</v>
      </c>
      <c r="C528" s="13">
        <v>70</v>
      </c>
      <c r="AA528" s="8">
        <f t="shared" si="15"/>
        <v>527</v>
      </c>
      <c r="AB528" s="8">
        <v>0.59781273826877401</v>
      </c>
    </row>
    <row r="529" spans="1:28" ht="32" x14ac:dyDescent="0.2">
      <c r="A529" s="10" t="s">
        <v>702</v>
      </c>
      <c r="B529" s="39">
        <v>1259.81</v>
      </c>
      <c r="C529" s="13">
        <v>70</v>
      </c>
      <c r="AA529" s="8">
        <f t="shared" si="15"/>
        <v>528</v>
      </c>
      <c r="AB529" s="8">
        <v>0.59781273826877401</v>
      </c>
    </row>
    <row r="530" spans="1:28" ht="32" x14ac:dyDescent="0.2">
      <c r="A530" s="10" t="s">
        <v>233</v>
      </c>
      <c r="B530" s="39">
        <v>480.2</v>
      </c>
      <c r="C530" s="13">
        <v>71</v>
      </c>
      <c r="AA530" s="8">
        <f t="shared" si="15"/>
        <v>529</v>
      </c>
      <c r="AB530" s="8">
        <v>0.59781273826877401</v>
      </c>
    </row>
    <row r="531" spans="1:28" ht="48" x14ac:dyDescent="0.2">
      <c r="A531" s="10" t="s">
        <v>234</v>
      </c>
      <c r="B531" s="39">
        <v>219.35</v>
      </c>
      <c r="C531" s="13">
        <v>71</v>
      </c>
      <c r="AA531" s="8">
        <f t="shared" si="15"/>
        <v>530</v>
      </c>
      <c r="AB531" s="8">
        <v>0.59781273826877401</v>
      </c>
    </row>
    <row r="532" spans="1:28" ht="80" x14ac:dyDescent="0.2">
      <c r="A532" s="10" t="s">
        <v>238</v>
      </c>
      <c r="B532" s="39">
        <v>2168.9</v>
      </c>
      <c r="C532" s="13">
        <v>71</v>
      </c>
      <c r="AA532" s="8">
        <f t="shared" si="15"/>
        <v>531</v>
      </c>
      <c r="AB532" s="8">
        <v>0.59781273826877401</v>
      </c>
    </row>
    <row r="533" spans="1:28" ht="80" x14ac:dyDescent="0.2">
      <c r="A533" s="10" t="s">
        <v>183</v>
      </c>
      <c r="B533" s="39">
        <v>46299</v>
      </c>
      <c r="C533" s="13">
        <v>72</v>
      </c>
      <c r="AA533" s="8">
        <f t="shared" si="15"/>
        <v>532</v>
      </c>
      <c r="AB533" s="8">
        <v>0.59781273826877401</v>
      </c>
    </row>
    <row r="534" spans="1:28" ht="48" x14ac:dyDescent="0.2">
      <c r="A534" s="10" t="s">
        <v>187</v>
      </c>
      <c r="B534" s="39">
        <v>9462</v>
      </c>
      <c r="C534" s="13">
        <v>72</v>
      </c>
      <c r="AA534" s="8">
        <f t="shared" si="15"/>
        <v>533</v>
      </c>
      <c r="AB534" s="8">
        <v>0.59781273826877401</v>
      </c>
    </row>
    <row r="535" spans="1:28" ht="64" x14ac:dyDescent="0.2">
      <c r="A535" s="10" t="s">
        <v>188</v>
      </c>
      <c r="B535" s="39">
        <v>3464.08</v>
      </c>
      <c r="C535" s="13">
        <v>72</v>
      </c>
      <c r="AA535" s="8">
        <f t="shared" si="15"/>
        <v>534</v>
      </c>
      <c r="AB535" s="8">
        <v>0.59781273826877401</v>
      </c>
    </row>
    <row r="536" spans="1:28" ht="64" x14ac:dyDescent="0.2">
      <c r="A536" s="10" t="s">
        <v>189</v>
      </c>
      <c r="B536" s="39">
        <v>91.16</v>
      </c>
      <c r="C536" s="13">
        <v>72</v>
      </c>
      <c r="AA536" s="8">
        <f t="shared" si="15"/>
        <v>535</v>
      </c>
      <c r="AB536" s="8">
        <v>0.59781273826877401</v>
      </c>
    </row>
    <row r="537" spans="1:28" ht="64" x14ac:dyDescent="0.2">
      <c r="A537" s="10" t="s">
        <v>190</v>
      </c>
      <c r="B537" s="39">
        <v>3095</v>
      </c>
      <c r="C537" s="13">
        <v>72</v>
      </c>
      <c r="AA537" s="8">
        <f t="shared" si="15"/>
        <v>536</v>
      </c>
      <c r="AB537" s="8">
        <v>0.59781273826877401</v>
      </c>
    </row>
    <row r="538" spans="1:28" ht="64" x14ac:dyDescent="0.2">
      <c r="A538" s="10" t="s">
        <v>191</v>
      </c>
      <c r="B538" s="39">
        <v>1130</v>
      </c>
      <c r="C538" s="13">
        <v>72</v>
      </c>
      <c r="AA538" s="8">
        <f t="shared" si="15"/>
        <v>537</v>
      </c>
      <c r="AB538" s="8">
        <v>0.59781273826877401</v>
      </c>
    </row>
    <row r="539" spans="1:28" ht="96" x14ac:dyDescent="0.2">
      <c r="A539" s="10" t="s">
        <v>223</v>
      </c>
      <c r="B539" s="39">
        <v>3312</v>
      </c>
      <c r="C539" s="13">
        <v>72</v>
      </c>
      <c r="AA539" s="8">
        <f t="shared" si="15"/>
        <v>538</v>
      </c>
      <c r="AB539" s="8">
        <v>0.59781273826877401</v>
      </c>
    </row>
    <row r="540" spans="1:28" ht="96" x14ac:dyDescent="0.2">
      <c r="A540" s="10" t="s">
        <v>224</v>
      </c>
      <c r="B540" s="39">
        <v>28083</v>
      </c>
      <c r="C540" s="13">
        <v>72</v>
      </c>
      <c r="AA540" s="8">
        <f t="shared" si="15"/>
        <v>539</v>
      </c>
      <c r="AB540" s="8">
        <v>0.59781273826877401</v>
      </c>
    </row>
    <row r="541" spans="1:28" ht="48" x14ac:dyDescent="0.2">
      <c r="A541" s="10" t="s">
        <v>330</v>
      </c>
      <c r="B541" s="39">
        <v>50798.400000000001</v>
      </c>
      <c r="C541" s="13">
        <v>72</v>
      </c>
      <c r="AA541" s="8">
        <f t="shared" si="15"/>
        <v>540</v>
      </c>
      <c r="AB541" s="8">
        <v>0.59781273826877401</v>
      </c>
    </row>
    <row r="542" spans="1:28" ht="48" x14ac:dyDescent="0.2">
      <c r="A542" s="10" t="s">
        <v>331</v>
      </c>
      <c r="B542" s="39">
        <v>2284.1999999999998</v>
      </c>
      <c r="C542" s="13">
        <v>72</v>
      </c>
      <c r="AA542" s="8">
        <f t="shared" si="15"/>
        <v>541</v>
      </c>
      <c r="AB542" s="8">
        <v>0.59781273826877401</v>
      </c>
    </row>
    <row r="543" spans="1:28" ht="48" x14ac:dyDescent="0.2">
      <c r="A543" s="10" t="s">
        <v>332</v>
      </c>
      <c r="B543" s="39">
        <v>1052</v>
      </c>
      <c r="C543" s="13">
        <v>72</v>
      </c>
      <c r="AA543" s="8">
        <f t="shared" si="15"/>
        <v>542</v>
      </c>
      <c r="AB543" s="8">
        <v>0.59781273826877401</v>
      </c>
    </row>
    <row r="544" spans="1:28" ht="96" x14ac:dyDescent="0.2">
      <c r="A544" s="10" t="s">
        <v>333</v>
      </c>
      <c r="B544" s="39">
        <v>336.66</v>
      </c>
      <c r="C544" s="13">
        <v>72</v>
      </c>
      <c r="AA544" s="8">
        <f t="shared" si="15"/>
        <v>543</v>
      </c>
      <c r="AB544" s="8">
        <v>0.59781273826877401</v>
      </c>
    </row>
    <row r="545" spans="1:28" ht="64" x14ac:dyDescent="0.2">
      <c r="A545" s="10" t="s">
        <v>334</v>
      </c>
      <c r="B545" s="39">
        <v>250.55</v>
      </c>
      <c r="C545" s="13">
        <v>72</v>
      </c>
      <c r="AA545" s="8">
        <f t="shared" si="15"/>
        <v>544</v>
      </c>
      <c r="AB545" s="8">
        <v>0.59781273826877401</v>
      </c>
    </row>
    <row r="546" spans="1:28" ht="64" x14ac:dyDescent="0.2">
      <c r="A546" s="10" t="s">
        <v>335</v>
      </c>
      <c r="B546" s="39">
        <v>204.44</v>
      </c>
      <c r="C546" s="13">
        <v>72</v>
      </c>
      <c r="AA546" s="8">
        <f t="shared" si="15"/>
        <v>545</v>
      </c>
      <c r="AB546" s="8">
        <v>0.59781273826877401</v>
      </c>
    </row>
    <row r="547" spans="1:28" ht="64" x14ac:dyDescent="0.2">
      <c r="A547" s="10" t="s">
        <v>336</v>
      </c>
      <c r="B547" s="39">
        <v>155.82</v>
      </c>
      <c r="C547" s="13">
        <v>72</v>
      </c>
      <c r="AA547" s="8">
        <f t="shared" si="15"/>
        <v>546</v>
      </c>
      <c r="AB547" s="8">
        <v>0.59781273826877401</v>
      </c>
    </row>
    <row r="548" spans="1:28" ht="64" x14ac:dyDescent="0.2">
      <c r="A548" s="10" t="s">
        <v>337</v>
      </c>
      <c r="B548" s="39">
        <v>104.21</v>
      </c>
      <c r="C548" s="13">
        <v>72</v>
      </c>
      <c r="AA548" s="8">
        <f t="shared" si="15"/>
        <v>547</v>
      </c>
      <c r="AB548" s="8">
        <v>0.59781273826877401</v>
      </c>
    </row>
    <row r="549" spans="1:28" ht="48" x14ac:dyDescent="0.2">
      <c r="A549" s="10" t="s">
        <v>338</v>
      </c>
      <c r="B549" s="39">
        <v>2505</v>
      </c>
      <c r="C549" s="13">
        <v>72</v>
      </c>
      <c r="AA549" s="8">
        <f t="shared" si="15"/>
        <v>548</v>
      </c>
      <c r="AB549" s="8">
        <v>0.59781273826877401</v>
      </c>
    </row>
    <row r="550" spans="1:28" ht="48" x14ac:dyDescent="0.2">
      <c r="A550" s="10" t="s">
        <v>339</v>
      </c>
      <c r="B550" s="39">
        <v>210</v>
      </c>
      <c r="C550" s="13">
        <v>72</v>
      </c>
      <c r="AA550" s="8">
        <f t="shared" si="15"/>
        <v>549</v>
      </c>
      <c r="AB550" s="8">
        <v>0.59781273826877401</v>
      </c>
    </row>
    <row r="551" spans="1:28" ht="64" x14ac:dyDescent="0.2">
      <c r="A551" s="10" t="s">
        <v>351</v>
      </c>
      <c r="B551" s="39">
        <v>16689.22</v>
      </c>
      <c r="C551" s="13">
        <v>72</v>
      </c>
      <c r="AA551" s="8">
        <f t="shared" si="15"/>
        <v>550</v>
      </c>
      <c r="AB551" s="8">
        <v>0.59781273826877401</v>
      </c>
    </row>
    <row r="552" spans="1:28" ht="32" x14ac:dyDescent="0.2">
      <c r="A552" s="10" t="s">
        <v>352</v>
      </c>
      <c r="B552" s="39">
        <v>5115.95</v>
      </c>
      <c r="C552" s="13">
        <v>72</v>
      </c>
      <c r="AA552" s="8">
        <f t="shared" si="15"/>
        <v>551</v>
      </c>
      <c r="AB552" s="8">
        <v>0.59781273826877401</v>
      </c>
    </row>
    <row r="553" spans="1:28" ht="32" x14ac:dyDescent="0.2">
      <c r="A553" s="10" t="s">
        <v>355</v>
      </c>
      <c r="B553" s="39">
        <v>1087.58</v>
      </c>
      <c r="C553" s="13">
        <v>72</v>
      </c>
      <c r="AA553" s="8">
        <f t="shared" si="15"/>
        <v>552</v>
      </c>
      <c r="AB553" s="8">
        <v>0.59781273826877401</v>
      </c>
    </row>
    <row r="554" spans="1:28" ht="48" x14ac:dyDescent="0.2">
      <c r="A554" s="10" t="s">
        <v>38</v>
      </c>
      <c r="B554" s="39">
        <v>3693.6</v>
      </c>
      <c r="C554" s="13">
        <v>72</v>
      </c>
      <c r="AA554" s="8">
        <f t="shared" si="15"/>
        <v>553</v>
      </c>
      <c r="AB554" s="8">
        <v>0.59781273826877401</v>
      </c>
    </row>
    <row r="555" spans="1:28" ht="16" x14ac:dyDescent="0.2">
      <c r="A555" s="10" t="s">
        <v>40</v>
      </c>
      <c r="B555" s="39">
        <v>10168.799999999999</v>
      </c>
      <c r="C555" s="13">
        <v>72</v>
      </c>
      <c r="AA555" s="8">
        <f t="shared" si="15"/>
        <v>554</v>
      </c>
      <c r="AB555" s="8">
        <v>0.59781273826877401</v>
      </c>
    </row>
    <row r="556" spans="1:28" ht="48" x14ac:dyDescent="0.2">
      <c r="A556" s="10" t="s">
        <v>473</v>
      </c>
      <c r="B556" s="39">
        <v>729.28</v>
      </c>
      <c r="C556" s="13">
        <v>72</v>
      </c>
      <c r="AA556" s="8">
        <f t="shared" si="15"/>
        <v>555</v>
      </c>
      <c r="AB556" s="8">
        <v>0.59781273826877401</v>
      </c>
    </row>
    <row r="557" spans="1:28" ht="48" x14ac:dyDescent="0.2">
      <c r="A557" s="10" t="s">
        <v>474</v>
      </c>
      <c r="B557" s="39">
        <v>685</v>
      </c>
      <c r="C557" s="13">
        <v>72</v>
      </c>
      <c r="AA557" s="8">
        <f t="shared" si="15"/>
        <v>556</v>
      </c>
      <c r="AB557" s="8">
        <v>0.59781273826877401</v>
      </c>
    </row>
    <row r="558" spans="1:28" ht="48" x14ac:dyDescent="0.2">
      <c r="A558" s="10" t="s">
        <v>475</v>
      </c>
      <c r="B558" s="39">
        <v>780</v>
      </c>
      <c r="C558" s="13">
        <v>72</v>
      </c>
      <c r="AA558" s="8">
        <f t="shared" si="15"/>
        <v>557</v>
      </c>
      <c r="AB558" s="8">
        <v>0.59781273826877401</v>
      </c>
    </row>
    <row r="559" spans="1:28" ht="48" x14ac:dyDescent="0.2">
      <c r="A559" s="10" t="s">
        <v>476</v>
      </c>
      <c r="B559" s="39">
        <v>60</v>
      </c>
      <c r="C559" s="13">
        <v>72</v>
      </c>
      <c r="AA559" s="8">
        <f t="shared" si="15"/>
        <v>558</v>
      </c>
      <c r="AB559" s="8">
        <v>0.59781273826877401</v>
      </c>
    </row>
    <row r="560" spans="1:28" ht="48" x14ac:dyDescent="0.2">
      <c r="A560" s="10" t="s">
        <v>477</v>
      </c>
      <c r="B560" s="39">
        <v>4973.33</v>
      </c>
      <c r="C560" s="13">
        <v>72</v>
      </c>
      <c r="AA560" s="8">
        <f t="shared" si="15"/>
        <v>559</v>
      </c>
      <c r="AB560" s="8">
        <v>0.59781273826877401</v>
      </c>
    </row>
    <row r="561" spans="1:28" ht="32" x14ac:dyDescent="0.2">
      <c r="A561" s="10" t="s">
        <v>684</v>
      </c>
      <c r="B561" s="39">
        <v>911.6</v>
      </c>
      <c r="C561" s="13">
        <v>72</v>
      </c>
      <c r="AA561" s="8">
        <f t="shared" si="15"/>
        <v>560</v>
      </c>
      <c r="AB561" s="8">
        <v>0.59781273826877401</v>
      </c>
    </row>
    <row r="562" spans="1:28" ht="32" x14ac:dyDescent="0.2">
      <c r="A562" s="10" t="s">
        <v>213</v>
      </c>
      <c r="B562" s="52" t="s">
        <v>37</v>
      </c>
      <c r="C562" s="13">
        <v>73</v>
      </c>
      <c r="AA562" s="8">
        <f t="shared" si="15"/>
        <v>561</v>
      </c>
      <c r="AB562" s="8">
        <v>0.59781273826877401</v>
      </c>
    </row>
    <row r="563" spans="1:28" ht="64" x14ac:dyDescent="0.2">
      <c r="A563" s="10" t="s">
        <v>221</v>
      </c>
      <c r="B563" s="39">
        <v>350</v>
      </c>
      <c r="C563" s="13">
        <v>73</v>
      </c>
      <c r="AA563" s="8">
        <f t="shared" si="15"/>
        <v>562</v>
      </c>
      <c r="AB563" s="8">
        <v>0.59781273826877401</v>
      </c>
    </row>
    <row r="564" spans="1:28" ht="112" x14ac:dyDescent="0.2">
      <c r="A564" s="10" t="s">
        <v>312</v>
      </c>
      <c r="B564" s="39">
        <v>5340</v>
      </c>
      <c r="C564" s="13">
        <v>73</v>
      </c>
      <c r="AA564" s="8">
        <f t="shared" si="15"/>
        <v>563</v>
      </c>
      <c r="AB564" s="8">
        <v>0.59781273826877401</v>
      </c>
    </row>
    <row r="565" spans="1:28" ht="48" x14ac:dyDescent="0.2">
      <c r="A565" s="10" t="s">
        <v>193</v>
      </c>
      <c r="B565" s="39">
        <v>792</v>
      </c>
      <c r="C565" s="13">
        <v>75</v>
      </c>
      <c r="AA565" s="8">
        <f t="shared" si="15"/>
        <v>564</v>
      </c>
      <c r="AB565" s="8">
        <v>0.59781273826877401</v>
      </c>
    </row>
    <row r="566" spans="1:28" ht="64" x14ac:dyDescent="0.2">
      <c r="A566" s="10" t="s">
        <v>194</v>
      </c>
      <c r="B566" s="39">
        <v>219.26</v>
      </c>
      <c r="C566" s="13">
        <v>75</v>
      </c>
      <c r="AA566" s="8">
        <f t="shared" si="15"/>
        <v>565</v>
      </c>
      <c r="AB566" s="8">
        <v>0.59781273826877401</v>
      </c>
    </row>
    <row r="567" spans="1:28" ht="64" x14ac:dyDescent="0.2">
      <c r="A567" s="10" t="s">
        <v>195</v>
      </c>
      <c r="B567" s="39">
        <v>882.2</v>
      </c>
      <c r="C567" s="13">
        <v>75</v>
      </c>
      <c r="AA567" s="8">
        <f t="shared" si="15"/>
        <v>566</v>
      </c>
      <c r="AB567" s="8">
        <v>0.59781273826877401</v>
      </c>
    </row>
    <row r="568" spans="1:28" ht="32" x14ac:dyDescent="0.2">
      <c r="A568" s="10" t="s">
        <v>196</v>
      </c>
      <c r="B568" s="39">
        <v>1431.15</v>
      </c>
      <c r="C568" s="13">
        <v>75</v>
      </c>
      <c r="AA568" s="8">
        <f t="shared" si="15"/>
        <v>567</v>
      </c>
      <c r="AB568" s="8">
        <v>0.59781273826877401</v>
      </c>
    </row>
    <row r="569" spans="1:28" ht="32" x14ac:dyDescent="0.2">
      <c r="A569" s="10" t="s">
        <v>198</v>
      </c>
      <c r="B569" s="39">
        <v>1080</v>
      </c>
      <c r="C569" s="13">
        <v>75</v>
      </c>
      <c r="AA569" s="8">
        <f t="shared" si="15"/>
        <v>568</v>
      </c>
      <c r="AB569" s="8">
        <v>0.59781273826877401</v>
      </c>
    </row>
    <row r="570" spans="1:28" ht="32" x14ac:dyDescent="0.2">
      <c r="A570" s="10" t="s">
        <v>199</v>
      </c>
      <c r="B570" s="39">
        <v>387.5</v>
      </c>
      <c r="C570" s="13">
        <v>75</v>
      </c>
      <c r="AA570" s="8">
        <f t="shared" si="15"/>
        <v>569</v>
      </c>
      <c r="AB570" s="8">
        <v>0.59781273826877401</v>
      </c>
    </row>
    <row r="571" spans="1:28" ht="32" x14ac:dyDescent="0.2">
      <c r="A571" s="10" t="s">
        <v>200</v>
      </c>
      <c r="B571" s="39">
        <v>390</v>
      </c>
      <c r="C571" s="13">
        <v>75</v>
      </c>
      <c r="AA571" s="8">
        <f t="shared" si="15"/>
        <v>570</v>
      </c>
      <c r="AB571" s="8">
        <v>0.59781273826877401</v>
      </c>
    </row>
    <row r="572" spans="1:28" ht="32" x14ac:dyDescent="0.2">
      <c r="A572" s="10" t="s">
        <v>201</v>
      </c>
      <c r="B572" s="39">
        <v>405</v>
      </c>
      <c r="C572" s="13">
        <v>75</v>
      </c>
      <c r="AA572" s="8">
        <f t="shared" si="15"/>
        <v>571</v>
      </c>
      <c r="AB572" s="8">
        <v>0.59781273826877401</v>
      </c>
    </row>
    <row r="573" spans="1:28" ht="176" x14ac:dyDescent="0.2">
      <c r="A573" s="10" t="s">
        <v>202</v>
      </c>
      <c r="B573" s="39">
        <v>35137.64</v>
      </c>
      <c r="C573" s="13">
        <v>75</v>
      </c>
      <c r="AA573" s="8">
        <f t="shared" si="15"/>
        <v>572</v>
      </c>
      <c r="AB573" s="8">
        <v>0.59781273826877401</v>
      </c>
    </row>
    <row r="574" spans="1:28" ht="48" x14ac:dyDescent="0.2">
      <c r="A574" s="10" t="s">
        <v>219</v>
      </c>
      <c r="B574" s="39">
        <v>830</v>
      </c>
      <c r="C574" s="13">
        <v>75</v>
      </c>
      <c r="AA574" s="8">
        <f t="shared" si="15"/>
        <v>573</v>
      </c>
      <c r="AB574" s="8">
        <v>0.59781273826877401</v>
      </c>
    </row>
    <row r="575" spans="1:28" ht="48" x14ac:dyDescent="0.2">
      <c r="A575" s="10" t="s">
        <v>239</v>
      </c>
      <c r="B575" s="39">
        <v>6785.25</v>
      </c>
      <c r="C575" s="13">
        <v>75</v>
      </c>
      <c r="AA575" s="8">
        <f t="shared" si="15"/>
        <v>574</v>
      </c>
      <c r="AB575" s="8">
        <v>0.59781273826877401</v>
      </c>
    </row>
    <row r="576" spans="1:28" ht="48" x14ac:dyDescent="0.2">
      <c r="A576" s="10" t="s">
        <v>284</v>
      </c>
      <c r="B576" s="39">
        <v>1360</v>
      </c>
      <c r="C576" s="13">
        <v>75</v>
      </c>
      <c r="AA576" s="8">
        <f t="shared" si="15"/>
        <v>575</v>
      </c>
      <c r="AB576" s="8">
        <v>0.59781273826877401</v>
      </c>
    </row>
    <row r="577" spans="1:28" ht="64" x14ac:dyDescent="0.2">
      <c r="A577" s="10" t="s">
        <v>293</v>
      </c>
      <c r="B577" s="39">
        <v>900.9</v>
      </c>
      <c r="C577" s="13">
        <v>75</v>
      </c>
      <c r="AA577" s="8">
        <f t="shared" si="15"/>
        <v>576</v>
      </c>
      <c r="AB577" s="8">
        <v>0.59781273826877401</v>
      </c>
    </row>
    <row r="578" spans="1:28" ht="64" x14ac:dyDescent="0.2">
      <c r="A578" s="10" t="s">
        <v>294</v>
      </c>
      <c r="B578" s="39">
        <v>772.2</v>
      </c>
      <c r="C578" s="13">
        <v>75</v>
      </c>
      <c r="AA578" s="8">
        <f t="shared" si="15"/>
        <v>577</v>
      </c>
      <c r="AB578" s="8">
        <v>0.59781273826877401</v>
      </c>
    </row>
    <row r="579" spans="1:28" ht="64" x14ac:dyDescent="0.2">
      <c r="A579" s="10" t="s">
        <v>295</v>
      </c>
      <c r="B579" s="39">
        <v>900.9</v>
      </c>
      <c r="C579" s="13">
        <v>75</v>
      </c>
      <c r="AA579" s="8">
        <f t="shared" si="15"/>
        <v>578</v>
      </c>
      <c r="AB579" s="8">
        <v>0.59781273826877401</v>
      </c>
    </row>
    <row r="580" spans="1:28" ht="64" x14ac:dyDescent="0.2">
      <c r="A580" s="10" t="s">
        <v>296</v>
      </c>
      <c r="B580" s="39">
        <v>160</v>
      </c>
      <c r="C580" s="13">
        <v>75</v>
      </c>
      <c r="AA580" s="8">
        <f t="shared" ref="AA580:AA643" si="16">AA579+1</f>
        <v>579</v>
      </c>
      <c r="AB580" s="8">
        <v>0.59781273826877401</v>
      </c>
    </row>
    <row r="581" spans="1:28" ht="64" x14ac:dyDescent="0.2">
      <c r="A581" s="10" t="s">
        <v>353</v>
      </c>
      <c r="B581" s="39">
        <v>2021.2</v>
      </c>
      <c r="C581" s="13">
        <v>75</v>
      </c>
      <c r="AA581" s="8">
        <f t="shared" si="16"/>
        <v>580</v>
      </c>
      <c r="AB581" s="8">
        <v>0.59781273826877401</v>
      </c>
    </row>
    <row r="582" spans="1:28" ht="64" x14ac:dyDescent="0.2">
      <c r="A582" s="10" t="s">
        <v>354</v>
      </c>
      <c r="B582" s="39">
        <v>1222.5</v>
      </c>
      <c r="C582" s="13">
        <v>75</v>
      </c>
      <c r="AA582" s="8">
        <f t="shared" si="16"/>
        <v>581</v>
      </c>
      <c r="AB582" s="8">
        <v>0.59781273826877401</v>
      </c>
    </row>
    <row r="583" spans="1:28" ht="48" x14ac:dyDescent="0.2">
      <c r="A583" s="10" t="s">
        <v>356</v>
      </c>
      <c r="B583" s="39">
        <v>139.02000000000001</v>
      </c>
      <c r="C583" s="13">
        <v>75</v>
      </c>
      <c r="AA583" s="8">
        <f t="shared" si="16"/>
        <v>582</v>
      </c>
      <c r="AB583" s="8">
        <v>0.59781273826877401</v>
      </c>
    </row>
    <row r="584" spans="1:28" ht="48" x14ac:dyDescent="0.2">
      <c r="A584" s="10" t="s">
        <v>357</v>
      </c>
      <c r="B584" s="39">
        <v>406.24</v>
      </c>
      <c r="C584" s="13">
        <v>75</v>
      </c>
      <c r="AA584" s="8">
        <f t="shared" si="16"/>
        <v>583</v>
      </c>
      <c r="AB584" s="8">
        <v>0.59781273826877401</v>
      </c>
    </row>
    <row r="585" spans="1:28" ht="48" x14ac:dyDescent="0.2">
      <c r="A585" s="10" t="s">
        <v>358</v>
      </c>
      <c r="B585" s="39">
        <v>32.630000000000003</v>
      </c>
      <c r="C585" s="13">
        <v>75</v>
      </c>
      <c r="AA585" s="8">
        <f t="shared" si="16"/>
        <v>584</v>
      </c>
      <c r="AB585" s="8">
        <v>0.59781273826877401</v>
      </c>
    </row>
    <row r="586" spans="1:28" ht="48" x14ac:dyDescent="0.2">
      <c r="A586" s="10" t="s">
        <v>359</v>
      </c>
      <c r="B586" s="39">
        <v>201.78</v>
      </c>
      <c r="C586" s="13">
        <v>75</v>
      </c>
      <c r="AA586" s="8">
        <f t="shared" si="16"/>
        <v>585</v>
      </c>
      <c r="AB586" s="8">
        <v>0.59781273826877401</v>
      </c>
    </row>
    <row r="587" spans="1:28" ht="48" x14ac:dyDescent="0.2">
      <c r="A587" s="10" t="s">
        <v>360</v>
      </c>
      <c r="B587" s="39">
        <v>360.6</v>
      </c>
      <c r="C587" s="13">
        <v>75</v>
      </c>
      <c r="AA587" s="8">
        <f t="shared" si="16"/>
        <v>586</v>
      </c>
      <c r="AB587" s="8">
        <v>0.59781273826877401</v>
      </c>
    </row>
    <row r="588" spans="1:28" ht="48" x14ac:dyDescent="0.2">
      <c r="A588" s="10" t="s">
        <v>361</v>
      </c>
      <c r="B588" s="39">
        <v>1173.76</v>
      </c>
      <c r="C588" s="13">
        <v>75</v>
      </c>
      <c r="AA588" s="8">
        <f t="shared" si="16"/>
        <v>587</v>
      </c>
      <c r="AB588" s="8">
        <v>0.59781273826877401</v>
      </c>
    </row>
    <row r="589" spans="1:28" ht="48" x14ac:dyDescent="0.2">
      <c r="A589" s="10" t="s">
        <v>362</v>
      </c>
      <c r="B589" s="39">
        <v>226.6</v>
      </c>
      <c r="C589" s="13">
        <v>75</v>
      </c>
      <c r="AA589" s="8">
        <f t="shared" si="16"/>
        <v>588</v>
      </c>
      <c r="AB589" s="8">
        <v>0.59781273826877401</v>
      </c>
    </row>
    <row r="590" spans="1:28" ht="48" x14ac:dyDescent="0.2">
      <c r="A590" s="10" t="s">
        <v>363</v>
      </c>
      <c r="B590" s="39">
        <v>116.34</v>
      </c>
      <c r="C590" s="13">
        <v>75</v>
      </c>
      <c r="AA590" s="8">
        <f t="shared" si="16"/>
        <v>589</v>
      </c>
      <c r="AB590" s="8">
        <v>0.59781273826877401</v>
      </c>
    </row>
    <row r="591" spans="1:28" ht="48" x14ac:dyDescent="0.2">
      <c r="A591" s="10" t="s">
        <v>364</v>
      </c>
      <c r="B591" s="39">
        <v>120.36</v>
      </c>
      <c r="C591" s="13">
        <v>75</v>
      </c>
      <c r="AA591" s="8">
        <f t="shared" si="16"/>
        <v>590</v>
      </c>
      <c r="AB591" s="8">
        <v>0.59781273826877401</v>
      </c>
    </row>
    <row r="592" spans="1:28" ht="48" x14ac:dyDescent="0.2">
      <c r="A592" s="10" t="s">
        <v>365</v>
      </c>
      <c r="B592" s="39">
        <v>590.59</v>
      </c>
      <c r="C592" s="13">
        <v>75</v>
      </c>
      <c r="AA592" s="8">
        <f t="shared" si="16"/>
        <v>591</v>
      </c>
      <c r="AB592" s="8">
        <v>0.59781273826877401</v>
      </c>
    </row>
    <row r="593" spans="1:28" ht="48" x14ac:dyDescent="0.2">
      <c r="A593" s="10" t="s">
        <v>366</v>
      </c>
      <c r="B593" s="39">
        <v>222.28</v>
      </c>
      <c r="C593" s="13">
        <v>75</v>
      </c>
      <c r="AA593" s="8">
        <f t="shared" si="16"/>
        <v>592</v>
      </c>
      <c r="AB593" s="8">
        <v>0.59781273826877401</v>
      </c>
    </row>
    <row r="594" spans="1:28" ht="64" x14ac:dyDescent="0.2">
      <c r="A594" s="10" t="s">
        <v>367</v>
      </c>
      <c r="B594" s="39">
        <v>725.3</v>
      </c>
      <c r="C594" s="13">
        <v>75</v>
      </c>
      <c r="AA594" s="8">
        <f t="shared" si="16"/>
        <v>593</v>
      </c>
      <c r="AB594" s="8">
        <v>0.59781273826877401</v>
      </c>
    </row>
    <row r="595" spans="1:28" ht="48" x14ac:dyDescent="0.2">
      <c r="A595" s="10" t="s">
        <v>368</v>
      </c>
      <c r="B595" s="39">
        <v>150.06</v>
      </c>
      <c r="C595" s="13">
        <v>75</v>
      </c>
      <c r="AA595" s="8">
        <f t="shared" si="16"/>
        <v>594</v>
      </c>
      <c r="AB595" s="8">
        <v>0.59781273826877401</v>
      </c>
    </row>
    <row r="596" spans="1:28" ht="48" x14ac:dyDescent="0.2">
      <c r="A596" s="10" t="s">
        <v>369</v>
      </c>
      <c r="B596" s="39">
        <v>150.06</v>
      </c>
      <c r="C596" s="13">
        <v>75</v>
      </c>
      <c r="AA596" s="8">
        <f t="shared" si="16"/>
        <v>595</v>
      </c>
      <c r="AB596" s="8">
        <v>0.59781273826877401</v>
      </c>
    </row>
    <row r="597" spans="1:28" ht="48" x14ac:dyDescent="0.2">
      <c r="A597" s="10" t="s">
        <v>370</v>
      </c>
      <c r="B597" s="39">
        <v>932.82</v>
      </c>
      <c r="C597" s="13">
        <v>75</v>
      </c>
      <c r="AA597" s="8">
        <f t="shared" si="16"/>
        <v>596</v>
      </c>
      <c r="AB597" s="8">
        <v>0.59781273826877401</v>
      </c>
    </row>
    <row r="598" spans="1:28" ht="16" x14ac:dyDescent="0.2">
      <c r="A598" s="10" t="s">
        <v>478</v>
      </c>
      <c r="B598" s="39">
        <v>171.15</v>
      </c>
      <c r="C598" s="13">
        <v>75</v>
      </c>
      <c r="AA598" s="8">
        <f t="shared" si="16"/>
        <v>597</v>
      </c>
      <c r="AB598" s="8">
        <v>0.59781273826877401</v>
      </c>
    </row>
    <row r="599" spans="1:28" ht="48" x14ac:dyDescent="0.2">
      <c r="A599" s="10" t="s">
        <v>704</v>
      </c>
      <c r="B599" s="39">
        <v>686.88</v>
      </c>
      <c r="C599" s="13">
        <v>75</v>
      </c>
      <c r="AA599" s="8">
        <f t="shared" si="16"/>
        <v>598</v>
      </c>
      <c r="AB599" s="8">
        <v>0.59781273826877401</v>
      </c>
    </row>
    <row r="600" spans="1:28" ht="48" x14ac:dyDescent="0.2">
      <c r="A600" s="10" t="s">
        <v>479</v>
      </c>
      <c r="B600" s="39">
        <v>254</v>
      </c>
      <c r="C600" s="13">
        <v>76</v>
      </c>
      <c r="AA600" s="8">
        <f t="shared" si="16"/>
        <v>599</v>
      </c>
      <c r="AB600" s="8">
        <v>0.59781273826877401</v>
      </c>
    </row>
    <row r="601" spans="1:28" ht="48" x14ac:dyDescent="0.2">
      <c r="A601" s="10" t="s">
        <v>480</v>
      </c>
      <c r="B601" s="39">
        <v>327.5</v>
      </c>
      <c r="C601" s="13">
        <v>76</v>
      </c>
      <c r="AA601" s="8">
        <f t="shared" si="16"/>
        <v>600</v>
      </c>
      <c r="AB601" s="8">
        <v>0.59781273826877401</v>
      </c>
    </row>
    <row r="602" spans="1:28" ht="48" x14ac:dyDescent="0.2">
      <c r="A602" s="10" t="s">
        <v>481</v>
      </c>
      <c r="B602" s="39">
        <v>107.91</v>
      </c>
      <c r="C602" s="13">
        <v>76</v>
      </c>
      <c r="AA602" s="8">
        <f t="shared" si="16"/>
        <v>601</v>
      </c>
      <c r="AB602" s="8">
        <v>0.59781273826877401</v>
      </c>
    </row>
    <row r="603" spans="1:28" ht="48" x14ac:dyDescent="0.2">
      <c r="A603" s="10" t="s">
        <v>482</v>
      </c>
      <c r="B603" s="39">
        <v>39.65</v>
      </c>
      <c r="C603" s="13">
        <v>76</v>
      </c>
      <c r="AA603" s="8">
        <f t="shared" si="16"/>
        <v>602</v>
      </c>
      <c r="AB603" s="8">
        <v>0.59781273826877401</v>
      </c>
    </row>
    <row r="604" spans="1:28" ht="64" x14ac:dyDescent="0.2">
      <c r="A604" s="10" t="s">
        <v>690</v>
      </c>
      <c r="B604" s="39">
        <v>2109.87</v>
      </c>
      <c r="C604" s="13">
        <v>80</v>
      </c>
      <c r="AA604" s="8">
        <f t="shared" si="16"/>
        <v>603</v>
      </c>
      <c r="AB604" s="8">
        <v>0.59781273826877401</v>
      </c>
    </row>
    <row r="605" spans="1:28" ht="80" x14ac:dyDescent="0.2">
      <c r="A605" s="10" t="s">
        <v>691</v>
      </c>
      <c r="B605" s="39">
        <v>189.05</v>
      </c>
      <c r="C605" s="13">
        <v>80</v>
      </c>
      <c r="AA605" s="8">
        <f t="shared" si="16"/>
        <v>604</v>
      </c>
      <c r="AB605" s="8">
        <v>0.59781273826877401</v>
      </c>
    </row>
    <row r="606" spans="1:28" ht="80" x14ac:dyDescent="0.2">
      <c r="A606" s="10" t="s">
        <v>692</v>
      </c>
      <c r="B606" s="39">
        <v>5405.71</v>
      </c>
      <c r="C606" s="13">
        <v>80</v>
      </c>
      <c r="AA606" s="8">
        <f t="shared" si="16"/>
        <v>605</v>
      </c>
      <c r="AB606" s="8">
        <v>0.59781273826877401</v>
      </c>
    </row>
    <row r="607" spans="1:28" ht="80" x14ac:dyDescent="0.2">
      <c r="A607" s="10" t="s">
        <v>693</v>
      </c>
      <c r="B607" s="39">
        <v>437.49</v>
      </c>
      <c r="C607" s="13">
        <v>80</v>
      </c>
      <c r="AA607" s="8">
        <f t="shared" si="16"/>
        <v>606</v>
      </c>
      <c r="AB607" s="8">
        <v>0.59781273826877401</v>
      </c>
    </row>
    <row r="608" spans="1:28" ht="80" x14ac:dyDescent="0.2">
      <c r="A608" s="10" t="s">
        <v>694</v>
      </c>
      <c r="B608" s="39">
        <v>1711.05</v>
      </c>
      <c r="C608" s="13">
        <v>80</v>
      </c>
      <c r="AA608" s="8">
        <f t="shared" si="16"/>
        <v>607</v>
      </c>
      <c r="AB608" s="8">
        <v>0.59781273826877401</v>
      </c>
    </row>
    <row r="609" spans="1:28" ht="64" x14ac:dyDescent="0.2">
      <c r="A609" s="10" t="s">
        <v>695</v>
      </c>
      <c r="B609" s="39">
        <v>4124.5200000000004</v>
      </c>
      <c r="C609" s="13">
        <v>80</v>
      </c>
      <c r="AA609" s="8">
        <f t="shared" si="16"/>
        <v>608</v>
      </c>
      <c r="AB609" s="8">
        <v>0.59781273826877401</v>
      </c>
    </row>
    <row r="610" spans="1:28" ht="64" x14ac:dyDescent="0.2">
      <c r="A610" s="10" t="s">
        <v>696</v>
      </c>
      <c r="B610" s="39">
        <v>158.83000000000001</v>
      </c>
      <c r="C610" s="13">
        <v>80</v>
      </c>
      <c r="AA610" s="8">
        <f t="shared" si="16"/>
        <v>609</v>
      </c>
      <c r="AB610" s="8">
        <v>0.59781273826877401</v>
      </c>
    </row>
    <row r="611" spans="1:28" ht="64" x14ac:dyDescent="0.2">
      <c r="A611" s="10" t="s">
        <v>697</v>
      </c>
      <c r="B611" s="39">
        <v>64.819999999999993</v>
      </c>
      <c r="C611" s="13">
        <v>80</v>
      </c>
      <c r="AA611" s="8">
        <f t="shared" si="16"/>
        <v>610</v>
      </c>
      <c r="AB611" s="8">
        <v>0.59781273826877401</v>
      </c>
    </row>
    <row r="612" spans="1:28" ht="48" x14ac:dyDescent="0.2">
      <c r="A612" s="10" t="s">
        <v>240</v>
      </c>
      <c r="B612" s="39">
        <v>200.9</v>
      </c>
      <c r="C612" s="13">
        <v>82</v>
      </c>
      <c r="AA612" s="8">
        <f t="shared" si="16"/>
        <v>611</v>
      </c>
      <c r="AB612" s="8">
        <v>0.59781273826877401</v>
      </c>
    </row>
    <row r="613" spans="1:28" ht="48" x14ac:dyDescent="0.2">
      <c r="A613" s="10" t="s">
        <v>241</v>
      </c>
      <c r="B613" s="39">
        <v>331.5</v>
      </c>
      <c r="C613" s="13">
        <v>82</v>
      </c>
      <c r="AA613" s="8">
        <f t="shared" si="16"/>
        <v>612</v>
      </c>
      <c r="AB613" s="8">
        <v>0.59781273826877401</v>
      </c>
    </row>
    <row r="614" spans="1:28" ht="48" x14ac:dyDescent="0.2">
      <c r="A614" s="10" t="s">
        <v>242</v>
      </c>
      <c r="B614" s="39">
        <v>5368.44</v>
      </c>
      <c r="C614" s="13">
        <v>82</v>
      </c>
      <c r="AA614" s="8">
        <f t="shared" si="16"/>
        <v>613</v>
      </c>
      <c r="AB614" s="8">
        <v>0.59781273826877401</v>
      </c>
    </row>
    <row r="615" spans="1:28" ht="48" x14ac:dyDescent="0.2">
      <c r="A615" s="10" t="s">
        <v>243</v>
      </c>
      <c r="B615" s="39">
        <v>95.7</v>
      </c>
      <c r="C615" s="13">
        <v>82</v>
      </c>
      <c r="AA615" s="8">
        <f t="shared" si="16"/>
        <v>614</v>
      </c>
      <c r="AB615" s="8">
        <v>0.59781273826877401</v>
      </c>
    </row>
    <row r="616" spans="1:28" ht="48" x14ac:dyDescent="0.2">
      <c r="A616" s="10" t="s">
        <v>244</v>
      </c>
      <c r="B616" s="39">
        <v>1166.79</v>
      </c>
      <c r="C616" s="13">
        <v>82</v>
      </c>
      <c r="AA616" s="8">
        <f t="shared" si="16"/>
        <v>615</v>
      </c>
      <c r="AB616" s="8">
        <v>0.59781273826877401</v>
      </c>
    </row>
    <row r="617" spans="1:28" ht="32" x14ac:dyDescent="0.2">
      <c r="A617" s="10" t="s">
        <v>583</v>
      </c>
      <c r="B617" s="39">
        <v>6254.85</v>
      </c>
      <c r="C617" s="13">
        <v>85</v>
      </c>
      <c r="AA617" s="8">
        <f t="shared" si="16"/>
        <v>616</v>
      </c>
      <c r="AB617" s="8">
        <v>0.59781273826877401</v>
      </c>
    </row>
    <row r="618" spans="1:28" ht="64" x14ac:dyDescent="0.2">
      <c r="A618" s="10" t="s">
        <v>192</v>
      </c>
      <c r="B618" s="39">
        <v>4476.3999999999996</v>
      </c>
      <c r="C618" s="13">
        <v>93</v>
      </c>
      <c r="AA618" s="8">
        <f t="shared" si="16"/>
        <v>617</v>
      </c>
      <c r="AB618" s="8">
        <v>0.59781273826877401</v>
      </c>
    </row>
    <row r="619" spans="1:28" ht="64" x14ac:dyDescent="0.2">
      <c r="A619" s="10" t="s">
        <v>340</v>
      </c>
      <c r="B619" s="39">
        <v>4178.38</v>
      </c>
      <c r="C619" s="13">
        <v>93</v>
      </c>
      <c r="AA619" s="8">
        <f t="shared" si="16"/>
        <v>618</v>
      </c>
      <c r="AB619" s="8">
        <v>0.59781273826877401</v>
      </c>
    </row>
    <row r="620" spans="1:28" ht="32" x14ac:dyDescent="0.2">
      <c r="A620" s="10" t="s">
        <v>175</v>
      </c>
      <c r="B620" s="39">
        <v>2749.68</v>
      </c>
      <c r="C620" s="13">
        <v>108</v>
      </c>
      <c r="AA620" s="8">
        <f t="shared" si="16"/>
        <v>619</v>
      </c>
      <c r="AB620" s="8">
        <v>0.59781273826877401</v>
      </c>
    </row>
    <row r="621" spans="1:28" ht="16" x14ac:dyDescent="0.2">
      <c r="A621" s="10" t="s">
        <v>680</v>
      </c>
      <c r="B621" s="39">
        <v>11136.16</v>
      </c>
      <c r="C621" s="13">
        <v>108</v>
      </c>
      <c r="AA621" s="8">
        <f t="shared" si="16"/>
        <v>620</v>
      </c>
      <c r="AB621" s="8">
        <v>0.59781273826877401</v>
      </c>
    </row>
    <row r="622" spans="1:28" ht="32" x14ac:dyDescent="0.2">
      <c r="A622" s="10" t="s">
        <v>153</v>
      </c>
      <c r="B622" s="39">
        <v>2255.04</v>
      </c>
      <c r="C622" s="13">
        <v>150</v>
      </c>
      <c r="AA622" s="8">
        <f t="shared" si="16"/>
        <v>621</v>
      </c>
      <c r="AB622" s="8">
        <v>0.59781273826877401</v>
      </c>
    </row>
    <row r="623" spans="1:28" ht="32" x14ac:dyDescent="0.2">
      <c r="A623" s="10" t="s">
        <v>154</v>
      </c>
      <c r="B623" s="39">
        <v>25.92</v>
      </c>
      <c r="C623" s="13">
        <v>150</v>
      </c>
      <c r="AA623" s="8">
        <f t="shared" si="16"/>
        <v>622</v>
      </c>
      <c r="AB623" s="8">
        <v>0.59781273826877401</v>
      </c>
    </row>
    <row r="624" spans="1:28" ht="32" x14ac:dyDescent="0.2">
      <c r="A624" s="10" t="s">
        <v>168</v>
      </c>
      <c r="B624" s="39">
        <v>1639.77</v>
      </c>
      <c r="C624" s="13">
        <v>150</v>
      </c>
      <c r="AA624" s="8">
        <f t="shared" si="16"/>
        <v>623</v>
      </c>
      <c r="AB624" s="8">
        <v>0.59781273826877401</v>
      </c>
    </row>
    <row r="625" spans="1:28" ht="16" x14ac:dyDescent="0.2">
      <c r="A625" s="10" t="s">
        <v>169</v>
      </c>
      <c r="B625" s="39">
        <v>4024.89</v>
      </c>
      <c r="C625" s="13">
        <v>150</v>
      </c>
      <c r="AA625" s="8">
        <f t="shared" si="16"/>
        <v>624</v>
      </c>
      <c r="AB625" s="8">
        <v>0.59781273826877401</v>
      </c>
    </row>
    <row r="626" spans="1:28" ht="16" x14ac:dyDescent="0.2">
      <c r="A626" s="10" t="s">
        <v>170</v>
      </c>
      <c r="B626" s="39">
        <v>313.27999999999997</v>
      </c>
      <c r="C626" s="13">
        <v>150</v>
      </c>
      <c r="AA626" s="8">
        <f t="shared" si="16"/>
        <v>625</v>
      </c>
      <c r="AB626" s="8">
        <v>0.59781273826877401</v>
      </c>
    </row>
    <row r="627" spans="1:28" ht="32" x14ac:dyDescent="0.2">
      <c r="A627" s="10" t="s">
        <v>171</v>
      </c>
      <c r="B627" s="39">
        <v>41623.68</v>
      </c>
      <c r="C627" s="13">
        <v>150</v>
      </c>
      <c r="AA627" s="8">
        <f t="shared" si="16"/>
        <v>626</v>
      </c>
      <c r="AB627" s="8">
        <v>0.59781273826877401</v>
      </c>
    </row>
    <row r="628" spans="1:28" ht="16" x14ac:dyDescent="0.2">
      <c r="A628" s="10" t="s">
        <v>172</v>
      </c>
      <c r="B628" s="39">
        <v>182.56</v>
      </c>
      <c r="C628" s="13">
        <v>150</v>
      </c>
      <c r="AA628" s="8">
        <f t="shared" si="16"/>
        <v>627</v>
      </c>
      <c r="AB628" s="8">
        <v>0.59781273826877401</v>
      </c>
    </row>
    <row r="629" spans="1:28" ht="16" x14ac:dyDescent="0.2">
      <c r="A629" s="10" t="s">
        <v>679</v>
      </c>
      <c r="B629" s="39">
        <v>1043.49</v>
      </c>
      <c r="C629" s="13">
        <v>150</v>
      </c>
      <c r="AA629" s="8">
        <f t="shared" si="16"/>
        <v>628</v>
      </c>
      <c r="AB629" s="8">
        <v>0.59781273826877401</v>
      </c>
    </row>
    <row r="630" spans="1:28" ht="96" x14ac:dyDescent="0.2">
      <c r="A630" s="10" t="s">
        <v>157</v>
      </c>
      <c r="B630" s="39">
        <v>3175.2</v>
      </c>
      <c r="C630" s="13">
        <v>300</v>
      </c>
      <c r="AA630" s="8">
        <f t="shared" si="16"/>
        <v>629</v>
      </c>
      <c r="AB630" s="8">
        <v>0.59781273826877401</v>
      </c>
    </row>
    <row r="631" spans="1:28" ht="96" x14ac:dyDescent="0.2">
      <c r="A631" s="10" t="s">
        <v>158</v>
      </c>
      <c r="B631" s="39">
        <v>21.6</v>
      </c>
      <c r="C631" s="13">
        <v>300</v>
      </c>
      <c r="AA631" s="8">
        <f t="shared" si="16"/>
        <v>630</v>
      </c>
      <c r="AB631" s="8">
        <v>0.59781273826877401</v>
      </c>
    </row>
    <row r="632" spans="1:28" ht="16" x14ac:dyDescent="0.2">
      <c r="A632" s="10" t="s">
        <v>674</v>
      </c>
      <c r="B632" s="39">
        <v>440.76</v>
      </c>
      <c r="C632" s="13">
        <v>300</v>
      </c>
      <c r="AA632" s="8">
        <f t="shared" si="16"/>
        <v>631</v>
      </c>
      <c r="AB632" s="8">
        <v>0.59781273826877401</v>
      </c>
    </row>
    <row r="633" spans="1:28" ht="32" x14ac:dyDescent="0.2">
      <c r="A633" s="10" t="s">
        <v>675</v>
      </c>
      <c r="B633" s="39">
        <v>2864.94</v>
      </c>
      <c r="C633" s="13">
        <v>300</v>
      </c>
      <c r="AA633" s="8">
        <f t="shared" si="16"/>
        <v>632</v>
      </c>
      <c r="AB633" s="8">
        <v>0.59781273826877401</v>
      </c>
    </row>
    <row r="634" spans="1:28" ht="16" x14ac:dyDescent="0.2">
      <c r="A634" s="10" t="s">
        <v>676</v>
      </c>
      <c r="B634" s="39">
        <v>2607.83</v>
      </c>
      <c r="C634" s="13">
        <v>300</v>
      </c>
      <c r="AA634" s="8">
        <f t="shared" si="16"/>
        <v>633</v>
      </c>
      <c r="AB634" s="8">
        <v>0.59781273826877401</v>
      </c>
    </row>
    <row r="635" spans="1:28" ht="32" x14ac:dyDescent="0.2">
      <c r="A635" s="10" t="s">
        <v>698</v>
      </c>
      <c r="B635" s="39">
        <v>2190.7600000000002</v>
      </c>
      <c r="C635" s="13">
        <v>300</v>
      </c>
      <c r="AA635" s="8">
        <f t="shared" si="16"/>
        <v>634</v>
      </c>
      <c r="AB635" s="8">
        <v>0.59781273826877401</v>
      </c>
    </row>
    <row r="636" spans="1:28" ht="32" x14ac:dyDescent="0.2">
      <c r="A636" s="10" t="s">
        <v>699</v>
      </c>
      <c r="B636" s="39">
        <v>12217.7</v>
      </c>
      <c r="C636" s="13">
        <v>300</v>
      </c>
      <c r="AA636" s="8">
        <f t="shared" si="16"/>
        <v>635</v>
      </c>
      <c r="AB636" s="8">
        <v>0.59781273826877401</v>
      </c>
    </row>
    <row r="637" spans="1:28" ht="32" x14ac:dyDescent="0.2">
      <c r="A637" s="10" t="s">
        <v>698</v>
      </c>
      <c r="B637" s="39">
        <v>7603.11</v>
      </c>
      <c r="C637" s="13">
        <v>300</v>
      </c>
      <c r="AA637" s="8">
        <f t="shared" si="16"/>
        <v>636</v>
      </c>
      <c r="AB637" s="8">
        <v>0.59781273826877401</v>
      </c>
    </row>
    <row r="638" spans="1:28" ht="16" x14ac:dyDescent="0.2">
      <c r="A638" s="10" t="s">
        <v>700</v>
      </c>
      <c r="B638" s="39">
        <v>1521.52</v>
      </c>
      <c r="C638" s="13">
        <v>300</v>
      </c>
      <c r="AA638" s="8">
        <f t="shared" si="16"/>
        <v>637</v>
      </c>
      <c r="AB638" s="8">
        <v>0.59781273826877401</v>
      </c>
    </row>
    <row r="639" spans="1:28" ht="32" x14ac:dyDescent="0.2">
      <c r="A639" s="10" t="s">
        <v>147</v>
      </c>
      <c r="B639" s="39">
        <v>903.96</v>
      </c>
      <c r="C639" s="13">
        <v>750</v>
      </c>
      <c r="AA639" s="8">
        <f t="shared" si="16"/>
        <v>638</v>
      </c>
      <c r="AB639" s="8">
        <v>0.59781273826877401</v>
      </c>
    </row>
    <row r="640" spans="1:28" ht="128" x14ac:dyDescent="0.2">
      <c r="A640" s="10" t="s">
        <v>161</v>
      </c>
      <c r="B640" s="39">
        <v>97629.48</v>
      </c>
      <c r="C640" s="13">
        <v>750</v>
      </c>
      <c r="AA640" s="8">
        <f t="shared" si="16"/>
        <v>639</v>
      </c>
      <c r="AB640" s="8">
        <v>0.59781273826877401</v>
      </c>
    </row>
    <row r="641" spans="1:28" ht="32" x14ac:dyDescent="0.2">
      <c r="A641" s="10" t="s">
        <v>176</v>
      </c>
      <c r="B641" s="39">
        <v>1279.8</v>
      </c>
      <c r="C641" s="13">
        <v>750</v>
      </c>
      <c r="AA641" s="8">
        <f t="shared" si="16"/>
        <v>640</v>
      </c>
      <c r="AB641" s="8">
        <v>0.59781273826877401</v>
      </c>
    </row>
    <row r="642" spans="1:28" ht="80" x14ac:dyDescent="0.2">
      <c r="A642" s="10" t="s">
        <v>184</v>
      </c>
      <c r="B642" s="39">
        <v>260</v>
      </c>
      <c r="C642" s="13">
        <v>750</v>
      </c>
      <c r="AA642" s="8">
        <f t="shared" si="16"/>
        <v>641</v>
      </c>
      <c r="AB642" s="8">
        <v>0.59781273826877401</v>
      </c>
    </row>
    <row r="643" spans="1:28" ht="80" x14ac:dyDescent="0.2">
      <c r="A643" s="10" t="s">
        <v>185</v>
      </c>
      <c r="B643" s="39">
        <v>600</v>
      </c>
      <c r="C643" s="13">
        <v>750</v>
      </c>
      <c r="AA643" s="8">
        <f t="shared" si="16"/>
        <v>642</v>
      </c>
      <c r="AB643" s="8">
        <v>0.59781273826877401</v>
      </c>
    </row>
    <row r="644" spans="1:28" ht="80" x14ac:dyDescent="0.2">
      <c r="A644" s="10" t="s">
        <v>186</v>
      </c>
      <c r="B644" s="39">
        <v>100</v>
      </c>
      <c r="C644" s="13">
        <v>750</v>
      </c>
      <c r="AA644" s="8">
        <f t="shared" ref="AA644:AA707" si="17">AA643+1</f>
        <v>643</v>
      </c>
      <c r="AB644" s="8">
        <v>0.59781273826877401</v>
      </c>
    </row>
    <row r="645" spans="1:28" ht="32" x14ac:dyDescent="0.2">
      <c r="A645" s="10" t="s">
        <v>668</v>
      </c>
      <c r="B645" s="39">
        <v>1542.24</v>
      </c>
      <c r="C645" s="13">
        <v>750</v>
      </c>
      <c r="AA645" s="8">
        <f t="shared" si="17"/>
        <v>644</v>
      </c>
      <c r="AB645" s="8">
        <v>0.59781273826877401</v>
      </c>
    </row>
    <row r="646" spans="1:28" ht="32" x14ac:dyDescent="0.2">
      <c r="A646" s="10" t="s">
        <v>669</v>
      </c>
      <c r="B646" s="39">
        <v>194.4</v>
      </c>
      <c r="C646" s="13">
        <v>750</v>
      </c>
      <c r="AA646" s="8">
        <f t="shared" si="17"/>
        <v>645</v>
      </c>
      <c r="AB646" s="8">
        <v>0.59781273826877401</v>
      </c>
    </row>
    <row r="647" spans="1:28" ht="16" x14ac:dyDescent="0.2">
      <c r="A647" s="10" t="s">
        <v>670</v>
      </c>
      <c r="B647" s="39">
        <v>311.04000000000002</v>
      </c>
      <c r="C647" s="13">
        <v>750</v>
      </c>
      <c r="AA647" s="8">
        <f t="shared" si="17"/>
        <v>646</v>
      </c>
      <c r="AB647" s="8">
        <v>0.59781273826877401</v>
      </c>
    </row>
    <row r="648" spans="1:28" ht="16" x14ac:dyDescent="0.2">
      <c r="A648" s="10" t="s">
        <v>671</v>
      </c>
      <c r="B648" s="39">
        <v>732.24</v>
      </c>
      <c r="C648" s="13">
        <v>750</v>
      </c>
      <c r="AA648" s="8">
        <f t="shared" si="17"/>
        <v>647</v>
      </c>
      <c r="AB648" s="8">
        <v>0.59781273826877401</v>
      </c>
    </row>
    <row r="649" spans="1:28" ht="48" x14ac:dyDescent="0.2">
      <c r="A649" s="10" t="s">
        <v>672</v>
      </c>
      <c r="B649" s="39">
        <v>887.76</v>
      </c>
      <c r="C649" s="13">
        <v>750</v>
      </c>
      <c r="AA649" s="8">
        <f t="shared" si="17"/>
        <v>648</v>
      </c>
      <c r="AB649" s="8">
        <v>0.59781273826877401</v>
      </c>
    </row>
    <row r="650" spans="1:28" ht="16" x14ac:dyDescent="0.2">
      <c r="A650" s="10" t="s">
        <v>677</v>
      </c>
      <c r="B650" s="39">
        <v>9.1199999999999992</v>
      </c>
      <c r="C650" s="13">
        <v>750</v>
      </c>
      <c r="AA650" s="8">
        <f t="shared" si="17"/>
        <v>649</v>
      </c>
      <c r="AB650" s="8">
        <v>0.59781273826877401</v>
      </c>
    </row>
    <row r="651" spans="1:28" ht="16" x14ac:dyDescent="0.2">
      <c r="A651" s="10" t="s">
        <v>678</v>
      </c>
      <c r="B651" s="39">
        <v>112.48</v>
      </c>
      <c r="C651" s="13">
        <v>750</v>
      </c>
      <c r="AA651" s="8">
        <f t="shared" si="17"/>
        <v>650</v>
      </c>
      <c r="AB651" s="8">
        <v>0.59781273826877401</v>
      </c>
    </row>
    <row r="652" spans="1:28" ht="32" x14ac:dyDescent="0.2">
      <c r="A652" s="10" t="s">
        <v>744</v>
      </c>
      <c r="B652" s="39">
        <v>864.25</v>
      </c>
      <c r="C652" s="13">
        <v>750</v>
      </c>
      <c r="AA652" s="8">
        <f t="shared" si="17"/>
        <v>651</v>
      </c>
      <c r="AB652" s="8">
        <v>0.59781273826877401</v>
      </c>
    </row>
    <row r="653" spans="1:28" ht="32" x14ac:dyDescent="0.2">
      <c r="A653" s="10" t="s">
        <v>745</v>
      </c>
      <c r="B653" s="39">
        <v>700.02</v>
      </c>
      <c r="C653" s="13">
        <v>750</v>
      </c>
      <c r="AA653" s="8">
        <f t="shared" si="17"/>
        <v>652</v>
      </c>
      <c r="AB653" s="8">
        <v>0.59781273826877401</v>
      </c>
    </row>
    <row r="654" spans="1:28" ht="32" x14ac:dyDescent="0.2">
      <c r="A654" s="10" t="s">
        <v>746</v>
      </c>
      <c r="B654" s="39">
        <v>1011.12</v>
      </c>
      <c r="C654" s="13">
        <v>750</v>
      </c>
      <c r="AA654" s="8">
        <f t="shared" si="17"/>
        <v>653</v>
      </c>
      <c r="AB654" s="8">
        <v>0.59781273826877401</v>
      </c>
    </row>
    <row r="655" spans="1:28" ht="32" x14ac:dyDescent="0.2">
      <c r="A655" s="10" t="s">
        <v>747</v>
      </c>
      <c r="B655" s="39">
        <v>808.01</v>
      </c>
      <c r="C655" s="13">
        <v>750</v>
      </c>
      <c r="AA655" s="8">
        <f t="shared" si="17"/>
        <v>654</v>
      </c>
      <c r="AB655" s="8">
        <v>0.59781273826877401</v>
      </c>
    </row>
    <row r="656" spans="1:28" ht="32" x14ac:dyDescent="0.2">
      <c r="A656" s="10" t="s">
        <v>748</v>
      </c>
      <c r="B656" s="39">
        <v>985.15</v>
      </c>
      <c r="C656" s="13">
        <v>750</v>
      </c>
      <c r="AA656" s="8">
        <f t="shared" si="17"/>
        <v>655</v>
      </c>
      <c r="AB656" s="8">
        <v>0.59781273826877401</v>
      </c>
    </row>
    <row r="657" spans="1:28" ht="32" x14ac:dyDescent="0.2">
      <c r="A657" s="10" t="s">
        <v>749</v>
      </c>
      <c r="B657" s="39">
        <v>1223.6400000000001</v>
      </c>
      <c r="C657" s="13">
        <v>750</v>
      </c>
      <c r="AA657" s="8">
        <f t="shared" si="17"/>
        <v>656</v>
      </c>
      <c r="AB657" s="8">
        <v>0.59781273826877401</v>
      </c>
    </row>
    <row r="658" spans="1:28" ht="32" x14ac:dyDescent="0.2">
      <c r="A658" s="10" t="s">
        <v>759</v>
      </c>
      <c r="B658" s="39">
        <v>129.63999999999999</v>
      </c>
      <c r="C658" s="13">
        <v>750</v>
      </c>
      <c r="AA658" s="8">
        <f t="shared" si="17"/>
        <v>657</v>
      </c>
      <c r="AB658" s="8">
        <v>0.59781273826877401</v>
      </c>
    </row>
    <row r="659" spans="1:28" ht="32" x14ac:dyDescent="0.2">
      <c r="A659" s="10" t="s">
        <v>760</v>
      </c>
      <c r="B659" s="39">
        <v>1002.53</v>
      </c>
      <c r="C659" s="13">
        <v>750</v>
      </c>
      <c r="AA659" s="8">
        <f t="shared" si="17"/>
        <v>658</v>
      </c>
      <c r="AB659" s="8">
        <v>0.59781273826877401</v>
      </c>
    </row>
    <row r="660" spans="1:28" ht="32" x14ac:dyDescent="0.2">
      <c r="A660" s="10" t="s">
        <v>745</v>
      </c>
      <c r="B660" s="39">
        <v>1088.92</v>
      </c>
      <c r="C660" s="13">
        <v>750</v>
      </c>
      <c r="AA660" s="8">
        <f t="shared" si="17"/>
        <v>659</v>
      </c>
      <c r="AB660" s="8">
        <v>0.59781273826877401</v>
      </c>
    </row>
    <row r="661" spans="1:28" ht="32" x14ac:dyDescent="0.2">
      <c r="A661" s="10" t="s">
        <v>761</v>
      </c>
      <c r="B661" s="39">
        <v>332.64</v>
      </c>
      <c r="C661" s="13">
        <v>750</v>
      </c>
      <c r="AA661" s="8">
        <f t="shared" si="17"/>
        <v>660</v>
      </c>
      <c r="AB661" s="8">
        <v>0.59781273826877401</v>
      </c>
    </row>
    <row r="662" spans="1:28" ht="32" x14ac:dyDescent="0.2">
      <c r="A662" s="10" t="s">
        <v>761</v>
      </c>
      <c r="B662" s="39">
        <v>881.62</v>
      </c>
      <c r="C662" s="13">
        <v>750</v>
      </c>
      <c r="AA662" s="8">
        <f t="shared" si="17"/>
        <v>661</v>
      </c>
      <c r="AB662" s="8">
        <v>0.59781273826877401</v>
      </c>
    </row>
    <row r="663" spans="1:28" ht="48" x14ac:dyDescent="0.2">
      <c r="A663" s="10" t="s">
        <v>775</v>
      </c>
      <c r="B663" s="39">
        <v>7916.53</v>
      </c>
      <c r="C663" s="13">
        <v>750</v>
      </c>
      <c r="AA663" s="8">
        <f t="shared" si="17"/>
        <v>662</v>
      </c>
      <c r="AB663" s="8">
        <v>0.59781273826877401</v>
      </c>
    </row>
    <row r="664" spans="1:28" ht="48" x14ac:dyDescent="0.2">
      <c r="A664" s="10" t="s">
        <v>776</v>
      </c>
      <c r="B664" s="39">
        <v>894.47</v>
      </c>
      <c r="C664" s="13">
        <v>750</v>
      </c>
      <c r="AA664" s="8">
        <f t="shared" si="17"/>
        <v>663</v>
      </c>
      <c r="AB664" s="8">
        <v>0.59781273826877401</v>
      </c>
    </row>
    <row r="665" spans="1:28" ht="48" x14ac:dyDescent="0.2">
      <c r="A665" s="10" t="s">
        <v>777</v>
      </c>
      <c r="B665" s="39">
        <v>2864.84</v>
      </c>
      <c r="C665" s="13">
        <v>750</v>
      </c>
      <c r="AA665" s="8">
        <f t="shared" si="17"/>
        <v>664</v>
      </c>
      <c r="AB665" s="8">
        <v>0.59781273826877401</v>
      </c>
    </row>
    <row r="666" spans="1:28" ht="48" x14ac:dyDescent="0.2">
      <c r="A666" s="10" t="s">
        <v>778</v>
      </c>
      <c r="B666" s="39">
        <v>1088.8499999999999</v>
      </c>
      <c r="C666" s="13">
        <v>750</v>
      </c>
      <c r="AA666" s="8">
        <f t="shared" si="17"/>
        <v>665</v>
      </c>
      <c r="AB666" s="8">
        <v>0.59781273826877401</v>
      </c>
    </row>
    <row r="667" spans="1:28" ht="48" x14ac:dyDescent="0.2">
      <c r="A667" s="10" t="s">
        <v>779</v>
      </c>
      <c r="B667" s="39">
        <v>3819.56</v>
      </c>
      <c r="C667" s="13">
        <v>750</v>
      </c>
      <c r="AA667" s="8">
        <f t="shared" si="17"/>
        <v>666</v>
      </c>
      <c r="AB667" s="8">
        <v>0.59781273826877401</v>
      </c>
    </row>
    <row r="668" spans="1:28" ht="48" x14ac:dyDescent="0.2">
      <c r="A668" s="10" t="s">
        <v>780</v>
      </c>
      <c r="B668" s="39">
        <v>229</v>
      </c>
      <c r="C668" s="13">
        <v>750</v>
      </c>
      <c r="AA668" s="8">
        <f t="shared" si="17"/>
        <v>667</v>
      </c>
      <c r="AB668" s="8">
        <v>0.59781273826877401</v>
      </c>
    </row>
    <row r="669" spans="1:28" ht="48" x14ac:dyDescent="0.2">
      <c r="A669" s="10" t="s">
        <v>781</v>
      </c>
      <c r="B669" s="39">
        <v>751.8</v>
      </c>
      <c r="C669" s="13">
        <v>750</v>
      </c>
      <c r="AA669" s="8">
        <f t="shared" si="17"/>
        <v>668</v>
      </c>
      <c r="AB669" s="8">
        <v>0.59781273826877401</v>
      </c>
    </row>
    <row r="670" spans="1:28" ht="32" x14ac:dyDescent="0.2">
      <c r="A670" s="10" t="s">
        <v>782</v>
      </c>
      <c r="B670" s="39">
        <v>83.16</v>
      </c>
      <c r="C670" s="13">
        <v>750</v>
      </c>
      <c r="AA670" s="8">
        <f t="shared" si="17"/>
        <v>669</v>
      </c>
      <c r="AB670" s="8">
        <v>0.59781273826877401</v>
      </c>
    </row>
    <row r="671" spans="1:28" ht="32" x14ac:dyDescent="0.2">
      <c r="A671" s="10" t="s">
        <v>783</v>
      </c>
      <c r="B671" s="39">
        <v>1165.32</v>
      </c>
      <c r="C671" s="13">
        <v>750</v>
      </c>
      <c r="AA671" s="8">
        <f t="shared" si="17"/>
        <v>670</v>
      </c>
      <c r="AB671" s="8">
        <v>0.59781273826877401</v>
      </c>
    </row>
    <row r="672" spans="1:28" ht="32" x14ac:dyDescent="0.2">
      <c r="A672" s="10" t="s">
        <v>784</v>
      </c>
      <c r="B672" s="39">
        <v>1441.8</v>
      </c>
      <c r="C672" s="13">
        <v>750</v>
      </c>
      <c r="AA672" s="8">
        <f t="shared" si="17"/>
        <v>671</v>
      </c>
      <c r="AB672" s="8">
        <v>0.59781273826877401</v>
      </c>
    </row>
    <row r="673" spans="1:28" ht="32" x14ac:dyDescent="0.2">
      <c r="A673" s="10" t="s">
        <v>785</v>
      </c>
      <c r="B673" s="39">
        <v>328.32</v>
      </c>
      <c r="C673" s="13">
        <v>750</v>
      </c>
      <c r="AA673" s="8">
        <f t="shared" si="17"/>
        <v>672</v>
      </c>
      <c r="AB673" s="8">
        <v>0.59781273826877401</v>
      </c>
    </row>
    <row r="674" spans="1:28" ht="32" x14ac:dyDescent="0.2">
      <c r="A674" s="10" t="s">
        <v>786</v>
      </c>
      <c r="B674" s="39">
        <v>5030.42</v>
      </c>
      <c r="C674" s="13">
        <v>750</v>
      </c>
      <c r="AA674" s="8">
        <f t="shared" si="17"/>
        <v>673</v>
      </c>
      <c r="AB674" s="8">
        <v>0.59781273826877401</v>
      </c>
    </row>
    <row r="675" spans="1:28" ht="32" x14ac:dyDescent="0.2">
      <c r="A675" s="10" t="s">
        <v>787</v>
      </c>
      <c r="B675" s="39">
        <v>955.06</v>
      </c>
      <c r="C675" s="13">
        <v>750</v>
      </c>
      <c r="AA675" s="8">
        <f t="shared" si="17"/>
        <v>674</v>
      </c>
      <c r="AB675" s="8">
        <v>0.59781273826877401</v>
      </c>
    </row>
    <row r="676" spans="1:28" ht="32" x14ac:dyDescent="0.2">
      <c r="A676" s="10" t="s">
        <v>806</v>
      </c>
      <c r="B676" s="39">
        <v>2538.6</v>
      </c>
      <c r="C676" s="13">
        <v>750</v>
      </c>
      <c r="AA676" s="8">
        <f t="shared" si="17"/>
        <v>675</v>
      </c>
      <c r="AB676" s="8">
        <v>0.59781273826877401</v>
      </c>
    </row>
    <row r="677" spans="1:28" ht="48" x14ac:dyDescent="0.2">
      <c r="A677" s="10" t="s">
        <v>814</v>
      </c>
      <c r="B677" s="39">
        <v>4511.24</v>
      </c>
      <c r="C677" s="13">
        <v>750</v>
      </c>
      <c r="AA677" s="8">
        <f t="shared" si="17"/>
        <v>676</v>
      </c>
      <c r="AB677" s="8">
        <v>0.59781273826877401</v>
      </c>
    </row>
    <row r="678" spans="1:28" ht="80" x14ac:dyDescent="0.2">
      <c r="A678" s="10" t="s">
        <v>815</v>
      </c>
      <c r="B678" s="39">
        <v>1879.68</v>
      </c>
      <c r="C678" s="13">
        <v>750</v>
      </c>
      <c r="AA678" s="8">
        <f t="shared" si="17"/>
        <v>677</v>
      </c>
      <c r="AB678" s="8">
        <v>0.59781273826877401</v>
      </c>
    </row>
    <row r="679" spans="1:28" ht="48" x14ac:dyDescent="0.2">
      <c r="A679" s="10" t="s">
        <v>816</v>
      </c>
      <c r="B679" s="39">
        <v>5289.04</v>
      </c>
      <c r="C679" s="13">
        <v>750</v>
      </c>
      <c r="AA679" s="8">
        <f t="shared" si="17"/>
        <v>678</v>
      </c>
      <c r="AB679" s="8">
        <v>0.59781273826877401</v>
      </c>
    </row>
    <row r="680" spans="1:28" ht="64" x14ac:dyDescent="0.2">
      <c r="A680" s="10" t="s">
        <v>817</v>
      </c>
      <c r="B680" s="39">
        <v>1096.48</v>
      </c>
      <c r="C680" s="13">
        <v>750</v>
      </c>
      <c r="AA680" s="8">
        <f t="shared" si="17"/>
        <v>679</v>
      </c>
      <c r="AB680" s="8">
        <v>0.59781273826877401</v>
      </c>
    </row>
    <row r="681" spans="1:28" ht="48" x14ac:dyDescent="0.2">
      <c r="A681" s="10" t="s">
        <v>819</v>
      </c>
      <c r="B681" s="39">
        <v>1503.36</v>
      </c>
      <c r="C681" s="13">
        <v>750</v>
      </c>
      <c r="AA681" s="8">
        <f t="shared" si="17"/>
        <v>680</v>
      </c>
      <c r="AB681" s="8">
        <v>0.59781273826877401</v>
      </c>
    </row>
    <row r="682" spans="1:28" ht="48" x14ac:dyDescent="0.2">
      <c r="A682" s="10" t="s">
        <v>820</v>
      </c>
      <c r="B682" s="39">
        <v>1762.56</v>
      </c>
      <c r="C682" s="13">
        <v>750</v>
      </c>
      <c r="AA682" s="8">
        <f t="shared" si="17"/>
        <v>681</v>
      </c>
      <c r="AB682" s="8">
        <v>0.59781273826877401</v>
      </c>
    </row>
    <row r="683" spans="1:28" ht="32" x14ac:dyDescent="0.2">
      <c r="A683" s="10" t="s">
        <v>823</v>
      </c>
      <c r="B683" s="39">
        <v>362.95</v>
      </c>
      <c r="C683" s="13">
        <v>750</v>
      </c>
      <c r="AA683" s="8">
        <f t="shared" si="17"/>
        <v>682</v>
      </c>
      <c r="AB683" s="8">
        <v>0.59781273826877401</v>
      </c>
    </row>
    <row r="684" spans="1:28" ht="16" x14ac:dyDescent="0.2">
      <c r="A684" s="10" t="s">
        <v>824</v>
      </c>
      <c r="B684" s="39">
        <v>362.95</v>
      </c>
      <c r="C684" s="13">
        <v>750</v>
      </c>
      <c r="AA684" s="8">
        <f t="shared" si="17"/>
        <v>683</v>
      </c>
      <c r="AB684" s="8">
        <v>0.59781273826877401</v>
      </c>
    </row>
    <row r="685" spans="1:28" ht="48" x14ac:dyDescent="0.2">
      <c r="A685" s="10" t="s">
        <v>830</v>
      </c>
      <c r="B685" s="39">
        <v>5794.61</v>
      </c>
      <c r="C685" s="13">
        <v>750</v>
      </c>
      <c r="AA685" s="8">
        <f t="shared" si="17"/>
        <v>684</v>
      </c>
      <c r="AB685" s="8">
        <v>0.59781273826877401</v>
      </c>
    </row>
    <row r="686" spans="1:28" ht="32" x14ac:dyDescent="0.2">
      <c r="A686" s="10" t="s">
        <v>831</v>
      </c>
      <c r="B686" s="39">
        <v>297.07</v>
      </c>
      <c r="C686" s="13">
        <v>750</v>
      </c>
      <c r="AA686" s="8">
        <f t="shared" si="17"/>
        <v>685</v>
      </c>
      <c r="AB686" s="8">
        <v>0.59781273826877401</v>
      </c>
    </row>
    <row r="687" spans="1:28" ht="48" x14ac:dyDescent="0.2">
      <c r="A687" s="10" t="s">
        <v>832</v>
      </c>
      <c r="B687" s="39">
        <v>5794.61</v>
      </c>
      <c r="C687" s="13">
        <v>750</v>
      </c>
      <c r="AA687" s="8">
        <f t="shared" si="17"/>
        <v>686</v>
      </c>
      <c r="AB687" s="8">
        <v>0.59781273826877401</v>
      </c>
    </row>
    <row r="688" spans="1:28" ht="48" x14ac:dyDescent="0.2">
      <c r="A688" s="10" t="s">
        <v>833</v>
      </c>
      <c r="B688" s="39">
        <v>9955.84</v>
      </c>
      <c r="C688" s="13">
        <v>750</v>
      </c>
      <c r="AA688" s="8">
        <f t="shared" si="17"/>
        <v>687</v>
      </c>
      <c r="AB688" s="8">
        <v>0.59781273826877401</v>
      </c>
    </row>
    <row r="689" spans="1:28" ht="48" x14ac:dyDescent="0.2">
      <c r="A689" s="10" t="s">
        <v>834</v>
      </c>
      <c r="B689" s="39">
        <v>1866.72</v>
      </c>
      <c r="C689" s="13">
        <v>750</v>
      </c>
      <c r="AA689" s="8">
        <f t="shared" si="17"/>
        <v>688</v>
      </c>
      <c r="AB689" s="8">
        <v>0.59781273826877401</v>
      </c>
    </row>
    <row r="690" spans="1:28" ht="48" x14ac:dyDescent="0.2">
      <c r="A690" s="10" t="s">
        <v>833</v>
      </c>
      <c r="B690" s="39">
        <v>8089.12</v>
      </c>
      <c r="C690" s="13">
        <v>750</v>
      </c>
      <c r="AA690" s="8">
        <f t="shared" si="17"/>
        <v>689</v>
      </c>
      <c r="AB690" s="8">
        <v>0.59781273826877401</v>
      </c>
    </row>
    <row r="691" spans="1:28" ht="48" x14ac:dyDescent="0.2">
      <c r="A691" s="10" t="s">
        <v>835</v>
      </c>
      <c r="B691" s="39">
        <v>3461.21</v>
      </c>
      <c r="C691" s="13">
        <v>750</v>
      </c>
      <c r="AA691" s="8">
        <f t="shared" si="17"/>
        <v>690</v>
      </c>
      <c r="AB691" s="8">
        <v>0.59781273826877401</v>
      </c>
    </row>
    <row r="692" spans="1:28" ht="32" x14ac:dyDescent="0.2">
      <c r="A692" s="10" t="s">
        <v>837</v>
      </c>
      <c r="B692" s="39">
        <v>3611.52</v>
      </c>
      <c r="C692" s="13">
        <v>750</v>
      </c>
      <c r="AA692" s="8">
        <f t="shared" si="17"/>
        <v>691</v>
      </c>
      <c r="AB692" s="8">
        <v>0.59781273826877401</v>
      </c>
    </row>
    <row r="693" spans="1:28" ht="32" x14ac:dyDescent="0.2">
      <c r="A693" s="10" t="s">
        <v>838</v>
      </c>
      <c r="B693" s="39">
        <v>3540.24</v>
      </c>
      <c r="C693" s="13">
        <v>750</v>
      </c>
      <c r="AA693" s="8">
        <f t="shared" si="17"/>
        <v>692</v>
      </c>
      <c r="AB693" s="8">
        <v>0.59781273826877401</v>
      </c>
    </row>
    <row r="694" spans="1:28" ht="48" x14ac:dyDescent="0.2">
      <c r="A694" s="10" t="s">
        <v>839</v>
      </c>
      <c r="B694" s="39">
        <v>3540.24</v>
      </c>
      <c r="C694" s="13">
        <v>750</v>
      </c>
      <c r="AA694" s="8">
        <f t="shared" si="17"/>
        <v>693</v>
      </c>
      <c r="AB694" s="8">
        <v>0.59781273826877401</v>
      </c>
    </row>
    <row r="695" spans="1:28" ht="48" x14ac:dyDescent="0.2">
      <c r="A695" s="10" t="s">
        <v>840</v>
      </c>
      <c r="B695" s="39">
        <v>1057.32</v>
      </c>
      <c r="C695" s="13">
        <v>750</v>
      </c>
      <c r="AA695" s="8">
        <f t="shared" si="17"/>
        <v>694</v>
      </c>
      <c r="AB695" s="8">
        <v>0.59781273826877401</v>
      </c>
    </row>
    <row r="696" spans="1:28" ht="32" x14ac:dyDescent="0.2">
      <c r="A696" s="10" t="s">
        <v>845</v>
      </c>
      <c r="B696" s="39">
        <v>1140.7</v>
      </c>
      <c r="C696" s="13">
        <v>750</v>
      </c>
      <c r="AA696" s="8">
        <f t="shared" si="17"/>
        <v>695</v>
      </c>
      <c r="AB696" s="8">
        <v>0.59781273826877401</v>
      </c>
    </row>
    <row r="697" spans="1:28" ht="32" x14ac:dyDescent="0.2">
      <c r="A697" s="10" t="s">
        <v>846</v>
      </c>
      <c r="B697" s="39">
        <v>155.55000000000001</v>
      </c>
      <c r="C697" s="13">
        <v>750</v>
      </c>
      <c r="AA697" s="8">
        <f t="shared" si="17"/>
        <v>696</v>
      </c>
      <c r="AB697" s="8">
        <v>0.59781273826877401</v>
      </c>
    </row>
    <row r="698" spans="1:28" ht="32" x14ac:dyDescent="0.2">
      <c r="A698" s="10" t="s">
        <v>847</v>
      </c>
      <c r="B698" s="39">
        <v>155.55000000000001</v>
      </c>
      <c r="C698" s="13">
        <v>750</v>
      </c>
      <c r="AA698" s="8">
        <f t="shared" si="17"/>
        <v>697</v>
      </c>
      <c r="AB698" s="8">
        <v>0.59781273826877401</v>
      </c>
    </row>
    <row r="699" spans="1:28" ht="32" x14ac:dyDescent="0.2">
      <c r="A699" s="10" t="s">
        <v>848</v>
      </c>
      <c r="B699" s="39">
        <v>311.10000000000002</v>
      </c>
      <c r="C699" s="13">
        <v>750</v>
      </c>
      <c r="AA699" s="8">
        <f t="shared" si="17"/>
        <v>698</v>
      </c>
      <c r="AB699" s="8">
        <v>0.59781273826877401</v>
      </c>
    </row>
    <row r="700" spans="1:28" x14ac:dyDescent="0.2">
      <c r="AA700" s="8">
        <f t="shared" si="17"/>
        <v>699</v>
      </c>
      <c r="AB700" s="8">
        <v>0.59781273826877401</v>
      </c>
    </row>
    <row r="701" spans="1:28" x14ac:dyDescent="0.2">
      <c r="AA701" s="8">
        <f t="shared" si="17"/>
        <v>700</v>
      </c>
      <c r="AB701" s="8">
        <v>0.59781273826877401</v>
      </c>
    </row>
    <row r="702" spans="1:28" x14ac:dyDescent="0.2">
      <c r="AA702" s="8">
        <f t="shared" si="17"/>
        <v>701</v>
      </c>
      <c r="AB702" s="8">
        <v>0.59781273826877401</v>
      </c>
    </row>
    <row r="703" spans="1:28" x14ac:dyDescent="0.2">
      <c r="AA703" s="8">
        <f t="shared" si="17"/>
        <v>702</v>
      </c>
      <c r="AB703" s="8">
        <v>0.59781273826877401</v>
      </c>
    </row>
    <row r="704" spans="1:28" x14ac:dyDescent="0.2">
      <c r="AA704" s="8">
        <f t="shared" si="17"/>
        <v>703</v>
      </c>
      <c r="AB704" s="8">
        <v>0.59781273826877401</v>
      </c>
    </row>
    <row r="705" spans="27:28" x14ac:dyDescent="0.2">
      <c r="AA705" s="8">
        <f t="shared" si="17"/>
        <v>704</v>
      </c>
      <c r="AB705" s="8">
        <v>0.59781273826877401</v>
      </c>
    </row>
    <row r="706" spans="27:28" x14ac:dyDescent="0.2">
      <c r="AA706" s="8">
        <f t="shared" si="17"/>
        <v>705</v>
      </c>
      <c r="AB706" s="8">
        <v>0.59781273826877401</v>
      </c>
    </row>
    <row r="707" spans="27:28" x14ac:dyDescent="0.2">
      <c r="AA707" s="8">
        <f t="shared" si="17"/>
        <v>706</v>
      </c>
      <c r="AB707" s="8">
        <v>0.59781273826877401</v>
      </c>
    </row>
    <row r="708" spans="27:28" x14ac:dyDescent="0.2">
      <c r="AA708" s="8">
        <f t="shared" ref="AA708:AA756" si="18">AA707+1</f>
        <v>707</v>
      </c>
      <c r="AB708" s="8">
        <v>0.59781273826877401</v>
      </c>
    </row>
    <row r="709" spans="27:28" x14ac:dyDescent="0.2">
      <c r="AA709" s="8">
        <f t="shared" si="18"/>
        <v>708</v>
      </c>
      <c r="AB709" s="8">
        <v>0.59781273826877401</v>
      </c>
    </row>
    <row r="710" spans="27:28" x14ac:dyDescent="0.2">
      <c r="AA710" s="8">
        <f t="shared" si="18"/>
        <v>709</v>
      </c>
      <c r="AB710" s="8">
        <v>0.59781273826877401</v>
      </c>
    </row>
    <row r="711" spans="27:28" x14ac:dyDescent="0.2">
      <c r="AA711" s="8">
        <f t="shared" si="18"/>
        <v>710</v>
      </c>
      <c r="AB711" s="8">
        <v>0.59781273826877401</v>
      </c>
    </row>
    <row r="712" spans="27:28" x14ac:dyDescent="0.2">
      <c r="AA712" s="8">
        <f t="shared" si="18"/>
        <v>711</v>
      </c>
      <c r="AB712" s="8">
        <v>0.59781273826877401</v>
      </c>
    </row>
    <row r="713" spans="27:28" x14ac:dyDescent="0.2">
      <c r="AA713" s="8">
        <f t="shared" si="18"/>
        <v>712</v>
      </c>
      <c r="AB713" s="8">
        <v>0.59781273826877401</v>
      </c>
    </row>
    <row r="714" spans="27:28" x14ac:dyDescent="0.2">
      <c r="AA714" s="8">
        <f t="shared" si="18"/>
        <v>713</v>
      </c>
      <c r="AB714" s="8">
        <v>0.59781273826877401</v>
      </c>
    </row>
    <row r="715" spans="27:28" x14ac:dyDescent="0.2">
      <c r="AA715" s="8">
        <f t="shared" si="18"/>
        <v>714</v>
      </c>
      <c r="AB715" s="8">
        <v>0.59781273826877401</v>
      </c>
    </row>
    <row r="716" spans="27:28" x14ac:dyDescent="0.2">
      <c r="AA716" s="8">
        <f t="shared" si="18"/>
        <v>715</v>
      </c>
      <c r="AB716" s="8">
        <v>0.59781273826877401</v>
      </c>
    </row>
    <row r="717" spans="27:28" x14ac:dyDescent="0.2">
      <c r="AA717" s="8">
        <f t="shared" si="18"/>
        <v>716</v>
      </c>
      <c r="AB717" s="8">
        <v>0.59781273826877401</v>
      </c>
    </row>
    <row r="718" spans="27:28" x14ac:dyDescent="0.2">
      <c r="AA718" s="8">
        <f t="shared" si="18"/>
        <v>717</v>
      </c>
      <c r="AB718" s="8">
        <v>0.59781273826877401</v>
      </c>
    </row>
    <row r="719" spans="27:28" x14ac:dyDescent="0.2">
      <c r="AA719" s="8">
        <f t="shared" si="18"/>
        <v>718</v>
      </c>
      <c r="AB719" s="8">
        <v>0.59781273826877401</v>
      </c>
    </row>
    <row r="720" spans="27:28" x14ac:dyDescent="0.2">
      <c r="AA720" s="8">
        <f t="shared" si="18"/>
        <v>719</v>
      </c>
      <c r="AB720" s="8">
        <v>0.59781273826877401</v>
      </c>
    </row>
    <row r="721" spans="27:28" x14ac:dyDescent="0.2">
      <c r="AA721" s="8">
        <f t="shared" si="18"/>
        <v>720</v>
      </c>
      <c r="AB721" s="8">
        <v>0.59781273826877401</v>
      </c>
    </row>
    <row r="722" spans="27:28" x14ac:dyDescent="0.2">
      <c r="AA722" s="8">
        <f t="shared" si="18"/>
        <v>721</v>
      </c>
      <c r="AB722" s="8">
        <v>0.59781273826877401</v>
      </c>
    </row>
    <row r="723" spans="27:28" x14ac:dyDescent="0.2">
      <c r="AA723" s="8">
        <f t="shared" si="18"/>
        <v>722</v>
      </c>
      <c r="AB723" s="8">
        <v>0.59781273826877401</v>
      </c>
    </row>
    <row r="724" spans="27:28" x14ac:dyDescent="0.2">
      <c r="AA724" s="8">
        <f t="shared" si="18"/>
        <v>723</v>
      </c>
      <c r="AB724" s="8">
        <v>0.59781273826877401</v>
      </c>
    </row>
    <row r="725" spans="27:28" x14ac:dyDescent="0.2">
      <c r="AA725" s="8">
        <f t="shared" si="18"/>
        <v>724</v>
      </c>
      <c r="AB725" s="8">
        <v>0.59781273826877401</v>
      </c>
    </row>
    <row r="726" spans="27:28" x14ac:dyDescent="0.2">
      <c r="AA726" s="8">
        <f t="shared" si="18"/>
        <v>725</v>
      </c>
      <c r="AB726" s="8">
        <v>0.59781273826877401</v>
      </c>
    </row>
    <row r="727" spans="27:28" x14ac:dyDescent="0.2">
      <c r="AA727" s="8">
        <f t="shared" si="18"/>
        <v>726</v>
      </c>
      <c r="AB727" s="8">
        <v>0.59781273826877401</v>
      </c>
    </row>
    <row r="728" spans="27:28" x14ac:dyDescent="0.2">
      <c r="AA728" s="8">
        <f t="shared" si="18"/>
        <v>727</v>
      </c>
      <c r="AB728" s="8">
        <v>0.59781273826877401</v>
      </c>
    </row>
    <row r="729" spans="27:28" x14ac:dyDescent="0.2">
      <c r="AA729" s="8">
        <f t="shared" si="18"/>
        <v>728</v>
      </c>
      <c r="AB729" s="8">
        <v>0.59781273826877401</v>
      </c>
    </row>
    <row r="730" spans="27:28" x14ac:dyDescent="0.2">
      <c r="AA730" s="8">
        <f t="shared" si="18"/>
        <v>729</v>
      </c>
      <c r="AB730" s="8">
        <v>0.59781273826877401</v>
      </c>
    </row>
    <row r="731" spans="27:28" x14ac:dyDescent="0.2">
      <c r="AA731" s="8">
        <f t="shared" si="18"/>
        <v>730</v>
      </c>
      <c r="AB731" s="8">
        <v>0.59781273826877401</v>
      </c>
    </row>
    <row r="732" spans="27:28" x14ac:dyDescent="0.2">
      <c r="AA732" s="8">
        <f t="shared" si="18"/>
        <v>731</v>
      </c>
      <c r="AB732" s="8">
        <v>0.59781273826877401</v>
      </c>
    </row>
    <row r="733" spans="27:28" x14ac:dyDescent="0.2">
      <c r="AA733" s="8">
        <f t="shared" si="18"/>
        <v>732</v>
      </c>
      <c r="AB733" s="8">
        <v>0.59781273826877401</v>
      </c>
    </row>
    <row r="734" spans="27:28" x14ac:dyDescent="0.2">
      <c r="AA734" s="8">
        <f t="shared" si="18"/>
        <v>733</v>
      </c>
      <c r="AB734" s="8">
        <v>0.59781273826877401</v>
      </c>
    </row>
    <row r="735" spans="27:28" x14ac:dyDescent="0.2">
      <c r="AA735" s="8">
        <f t="shared" si="18"/>
        <v>734</v>
      </c>
      <c r="AB735" s="8">
        <v>0.59781273826877401</v>
      </c>
    </row>
    <row r="736" spans="27:28" x14ac:dyDescent="0.2">
      <c r="AA736" s="8">
        <f t="shared" si="18"/>
        <v>735</v>
      </c>
      <c r="AB736" s="8">
        <v>0.59781273826877401</v>
      </c>
    </row>
    <row r="737" spans="27:28" x14ac:dyDescent="0.2">
      <c r="AA737" s="8">
        <f t="shared" si="18"/>
        <v>736</v>
      </c>
      <c r="AB737" s="8">
        <v>0.59781273826877401</v>
      </c>
    </row>
    <row r="738" spans="27:28" x14ac:dyDescent="0.2">
      <c r="AA738" s="8">
        <f t="shared" si="18"/>
        <v>737</v>
      </c>
      <c r="AB738" s="8">
        <v>0.59781273826877401</v>
      </c>
    </row>
    <row r="739" spans="27:28" x14ac:dyDescent="0.2">
      <c r="AA739" s="8">
        <f t="shared" si="18"/>
        <v>738</v>
      </c>
      <c r="AB739" s="8">
        <v>0.59781273826877401</v>
      </c>
    </row>
    <row r="740" spans="27:28" x14ac:dyDescent="0.2">
      <c r="AA740" s="8">
        <f t="shared" si="18"/>
        <v>739</v>
      </c>
      <c r="AB740" s="8">
        <v>0.59781273826877401</v>
      </c>
    </row>
    <row r="741" spans="27:28" x14ac:dyDescent="0.2">
      <c r="AA741" s="8">
        <f t="shared" si="18"/>
        <v>740</v>
      </c>
      <c r="AB741" s="8">
        <v>0.59781273826877401</v>
      </c>
    </row>
    <row r="742" spans="27:28" x14ac:dyDescent="0.2">
      <c r="AA742" s="8">
        <f t="shared" si="18"/>
        <v>741</v>
      </c>
      <c r="AB742" s="8">
        <v>0.59781273826877401</v>
      </c>
    </row>
    <row r="743" spans="27:28" x14ac:dyDescent="0.2">
      <c r="AA743" s="8">
        <f t="shared" si="18"/>
        <v>742</v>
      </c>
      <c r="AB743" s="8">
        <v>0.59781273826877401</v>
      </c>
    </row>
    <row r="744" spans="27:28" x14ac:dyDescent="0.2">
      <c r="AA744" s="8">
        <f t="shared" si="18"/>
        <v>743</v>
      </c>
      <c r="AB744" s="8">
        <v>0.59781273826877401</v>
      </c>
    </row>
    <row r="745" spans="27:28" x14ac:dyDescent="0.2">
      <c r="AA745" s="8">
        <f t="shared" si="18"/>
        <v>744</v>
      </c>
      <c r="AB745" s="8">
        <v>0.59781273826877401</v>
      </c>
    </row>
    <row r="746" spans="27:28" x14ac:dyDescent="0.2">
      <c r="AA746" s="8">
        <f t="shared" si="18"/>
        <v>745</v>
      </c>
      <c r="AB746" s="8">
        <v>0.59781273826877401</v>
      </c>
    </row>
    <row r="747" spans="27:28" x14ac:dyDescent="0.2">
      <c r="AA747" s="8">
        <f t="shared" si="18"/>
        <v>746</v>
      </c>
      <c r="AB747" s="8">
        <v>0.59781273826877401</v>
      </c>
    </row>
    <row r="748" spans="27:28" x14ac:dyDescent="0.2">
      <c r="AA748" s="8">
        <f t="shared" si="18"/>
        <v>747</v>
      </c>
      <c r="AB748" s="8">
        <v>0.59781273826877401</v>
      </c>
    </row>
    <row r="749" spans="27:28" x14ac:dyDescent="0.2">
      <c r="AA749" s="8">
        <f t="shared" si="18"/>
        <v>748</v>
      </c>
      <c r="AB749" s="8">
        <v>0.59781273826877401</v>
      </c>
    </row>
    <row r="750" spans="27:28" x14ac:dyDescent="0.2">
      <c r="AA750" s="8">
        <f t="shared" si="18"/>
        <v>749</v>
      </c>
      <c r="AB750" s="8">
        <v>0.59781273826877401</v>
      </c>
    </row>
    <row r="751" spans="27:28" x14ac:dyDescent="0.2">
      <c r="AA751" s="8">
        <f t="shared" si="18"/>
        <v>750</v>
      </c>
      <c r="AB751" s="8">
        <v>0.59781273826877401</v>
      </c>
    </row>
    <row r="752" spans="27:28" x14ac:dyDescent="0.2">
      <c r="AA752" s="8">
        <f t="shared" si="18"/>
        <v>751</v>
      </c>
    </row>
    <row r="753" spans="27:27" x14ac:dyDescent="0.2">
      <c r="AA753" s="8">
        <f t="shared" si="18"/>
        <v>752</v>
      </c>
    </row>
    <row r="754" spans="27:27" x14ac:dyDescent="0.2">
      <c r="AA754" s="8">
        <f t="shared" si="18"/>
        <v>753</v>
      </c>
    </row>
    <row r="755" spans="27:27" x14ac:dyDescent="0.2">
      <c r="AA755" s="8">
        <f t="shared" si="18"/>
        <v>754</v>
      </c>
    </row>
    <row r="756" spans="27:27" x14ac:dyDescent="0.2">
      <c r="AA756" s="8">
        <f t="shared" si="18"/>
        <v>755</v>
      </c>
    </row>
  </sheetData>
  <sortState xmlns:xlrd2="http://schemas.microsoft.com/office/spreadsheetml/2017/richdata2" ref="A3:C699">
    <sortCondition ref="C3"/>
  </sortState>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09"/>
  <sheetViews>
    <sheetView zoomScale="120" zoomScaleNormal="120" workbookViewId="0">
      <selection sqref="A1:XFD1048576"/>
    </sheetView>
  </sheetViews>
  <sheetFormatPr baseColWidth="10" defaultColWidth="8.83203125" defaultRowHeight="15" x14ac:dyDescent="0.2"/>
  <cols>
    <col min="1" max="1" width="45.6640625" style="32" customWidth="1"/>
    <col min="2" max="2" width="15.6640625" style="8" customWidth="1"/>
    <col min="3" max="3" width="17.5" style="8" customWidth="1"/>
    <col min="4" max="5" width="8.83203125" style="8"/>
    <col min="6" max="6" width="14.83203125" style="8" customWidth="1"/>
    <col min="7" max="7" width="24.5" style="8" customWidth="1"/>
    <col min="8" max="8" width="26.83203125" style="8" customWidth="1"/>
    <col min="9" max="16384" width="8.83203125" style="8"/>
  </cols>
  <sheetData>
    <row r="1" spans="1:8" ht="16" thickBot="1" x14ac:dyDescent="0.25"/>
    <row r="2" spans="1:8" ht="16" x14ac:dyDescent="0.2">
      <c r="A2" s="3" t="s">
        <v>897</v>
      </c>
      <c r="B2" s="34" t="s">
        <v>910</v>
      </c>
      <c r="C2" s="8" t="s">
        <v>911</v>
      </c>
      <c r="F2" s="35" t="s">
        <v>912</v>
      </c>
      <c r="G2" s="36" t="s">
        <v>911</v>
      </c>
      <c r="H2" s="37" t="s">
        <v>913</v>
      </c>
    </row>
    <row r="3" spans="1:8" ht="48" x14ac:dyDescent="0.2">
      <c r="A3" s="10" t="s">
        <v>148</v>
      </c>
      <c r="B3" s="13">
        <v>1</v>
      </c>
      <c r="C3" s="8">
        <v>129150</v>
      </c>
      <c r="F3" s="40">
        <v>1</v>
      </c>
      <c r="G3" s="8">
        <f>SUM(C3:C20)</f>
        <v>3951076.2055250006</v>
      </c>
      <c r="H3" s="53">
        <f>G3</f>
        <v>3951076.2055250006</v>
      </c>
    </row>
    <row r="4" spans="1:8" ht="32" x14ac:dyDescent="0.2">
      <c r="A4" s="10" t="s">
        <v>149</v>
      </c>
      <c r="B4" s="13">
        <v>1</v>
      </c>
      <c r="C4" s="8">
        <v>129150</v>
      </c>
      <c r="F4" s="40">
        <v>2</v>
      </c>
      <c r="G4" s="8">
        <f>C21</f>
        <v>10348.621276595748</v>
      </c>
      <c r="H4" s="53">
        <f t="shared" ref="H4:H35" si="0">H3+G4</f>
        <v>3961424.8268015962</v>
      </c>
    </row>
    <row r="5" spans="1:8" ht="32" x14ac:dyDescent="0.2">
      <c r="A5" s="10" t="s">
        <v>150</v>
      </c>
      <c r="B5" s="13">
        <v>1</v>
      </c>
      <c r="C5" s="8">
        <v>129150</v>
      </c>
      <c r="F5" s="40">
        <v>4</v>
      </c>
      <c r="G5" s="8">
        <f>SUM(C22:C23)</f>
        <v>2458.335</v>
      </c>
      <c r="H5" s="53">
        <f t="shared" si="0"/>
        <v>3963883.1618015962</v>
      </c>
    </row>
    <row r="6" spans="1:8" ht="16" x14ac:dyDescent="0.2">
      <c r="A6" s="10" t="s">
        <v>151</v>
      </c>
      <c r="B6" s="13">
        <v>1</v>
      </c>
      <c r="C6" s="8">
        <v>494091</v>
      </c>
      <c r="F6" s="40">
        <v>5</v>
      </c>
      <c r="G6" s="8">
        <f>SUM(C24:C26)</f>
        <v>8522.0249999999996</v>
      </c>
      <c r="H6" s="53">
        <f t="shared" si="0"/>
        <v>3972405.1868015961</v>
      </c>
    </row>
    <row r="7" spans="1:8" ht="48" x14ac:dyDescent="0.2">
      <c r="A7" s="10" t="s">
        <v>155</v>
      </c>
      <c r="B7" s="13">
        <v>1</v>
      </c>
      <c r="C7" s="8">
        <v>3690</v>
      </c>
      <c r="F7" s="40">
        <v>6</v>
      </c>
      <c r="G7" s="8">
        <f>SUM(C27:C32)</f>
        <v>5469.45</v>
      </c>
      <c r="H7" s="53">
        <f t="shared" si="0"/>
        <v>3977874.6368015963</v>
      </c>
    </row>
    <row r="8" spans="1:8" ht="48" x14ac:dyDescent="0.2">
      <c r="A8" s="10" t="s">
        <v>156</v>
      </c>
      <c r="B8" s="13">
        <v>1</v>
      </c>
      <c r="C8" s="8">
        <v>904050</v>
      </c>
      <c r="F8" s="40">
        <v>7</v>
      </c>
      <c r="G8" s="8">
        <f>SUM(C33:C42)</f>
        <v>142862.5170336398</v>
      </c>
      <c r="H8" s="53">
        <f t="shared" si="0"/>
        <v>4120737.1538352361</v>
      </c>
    </row>
    <row r="9" spans="1:8" ht="48" x14ac:dyDescent="0.2">
      <c r="A9" s="10" t="s">
        <v>159</v>
      </c>
      <c r="B9" s="13">
        <v>1</v>
      </c>
      <c r="C9" s="8">
        <v>322875</v>
      </c>
      <c r="F9" s="40">
        <v>8</v>
      </c>
      <c r="G9" s="8">
        <f>SUM(C43:C45)</f>
        <v>30324.453760000004</v>
      </c>
      <c r="H9" s="53">
        <f t="shared" si="0"/>
        <v>4151061.607595236</v>
      </c>
    </row>
    <row r="10" spans="1:8" ht="16" x14ac:dyDescent="0.2">
      <c r="A10" s="10" t="s">
        <v>151</v>
      </c>
      <c r="B10" s="13">
        <v>1</v>
      </c>
      <c r="C10" s="8">
        <v>123246</v>
      </c>
      <c r="F10" s="40">
        <v>10</v>
      </c>
      <c r="G10" s="8">
        <f>SUM(C46:C55)</f>
        <v>699692.68857841427</v>
      </c>
      <c r="H10" s="53">
        <f t="shared" si="0"/>
        <v>4850754.2961736508</v>
      </c>
    </row>
    <row r="11" spans="1:8" ht="16" x14ac:dyDescent="0.2">
      <c r="A11" s="10" t="s">
        <v>160</v>
      </c>
      <c r="B11" s="13">
        <v>1</v>
      </c>
      <c r="C11" s="8">
        <v>79888.500000000015</v>
      </c>
      <c r="F11" s="40">
        <v>11</v>
      </c>
      <c r="G11" s="8">
        <f>SUM(C56:C58)</f>
        <v>10105.199999999999</v>
      </c>
      <c r="H11" s="53">
        <f t="shared" si="0"/>
        <v>4860859.496173651</v>
      </c>
    </row>
    <row r="12" spans="1:8" ht="64" x14ac:dyDescent="0.2">
      <c r="A12" s="10" t="s">
        <v>162</v>
      </c>
      <c r="B12" s="13">
        <v>1</v>
      </c>
      <c r="C12" s="8">
        <v>4848.0383250000004</v>
      </c>
      <c r="F12" s="40">
        <v>12</v>
      </c>
      <c r="G12" s="8">
        <f>C59</f>
        <v>53013.43</v>
      </c>
      <c r="H12" s="53">
        <f t="shared" si="0"/>
        <v>4913872.9261736507</v>
      </c>
    </row>
    <row r="13" spans="1:8" ht="48" x14ac:dyDescent="0.2">
      <c r="A13" s="10" t="s">
        <v>163</v>
      </c>
      <c r="B13" s="13">
        <v>1</v>
      </c>
      <c r="C13" s="8">
        <v>172507.5</v>
      </c>
      <c r="F13" s="40">
        <v>13</v>
      </c>
      <c r="G13" s="8">
        <f>SUM(C60:C61)</f>
        <v>68002.8</v>
      </c>
      <c r="H13" s="53">
        <f t="shared" si="0"/>
        <v>4981875.7261736505</v>
      </c>
    </row>
    <row r="14" spans="1:8" ht="224" x14ac:dyDescent="0.2">
      <c r="A14" s="10" t="s">
        <v>164</v>
      </c>
      <c r="B14" s="13">
        <v>1</v>
      </c>
      <c r="C14" s="8">
        <v>12160.108799999998</v>
      </c>
      <c r="F14" s="40">
        <v>14</v>
      </c>
      <c r="G14" s="8">
        <f>SUM(C62)</f>
        <v>6326.5</v>
      </c>
      <c r="H14" s="53">
        <f t="shared" si="0"/>
        <v>4988202.2261736505</v>
      </c>
    </row>
    <row r="15" spans="1:8" ht="32" x14ac:dyDescent="0.2">
      <c r="A15" s="10" t="s">
        <v>182</v>
      </c>
      <c r="B15" s="13">
        <v>1</v>
      </c>
      <c r="C15" s="8">
        <v>5682.6000000000013</v>
      </c>
      <c r="F15" s="40">
        <v>15</v>
      </c>
      <c r="G15" s="8">
        <f>SUM(C63:C73)</f>
        <v>518613.55450000003</v>
      </c>
      <c r="H15" s="53">
        <f t="shared" si="0"/>
        <v>5506815.7806736501</v>
      </c>
    </row>
    <row r="16" spans="1:8" ht="16" x14ac:dyDescent="0.2">
      <c r="A16" s="10" t="s">
        <v>587</v>
      </c>
      <c r="B16" s="13">
        <v>1</v>
      </c>
      <c r="C16" s="8">
        <v>119940.7496</v>
      </c>
      <c r="F16" s="40">
        <v>17</v>
      </c>
      <c r="G16" s="8">
        <f>SUM(C74:C86)</f>
        <v>6931.4690000000001</v>
      </c>
      <c r="H16" s="53">
        <f t="shared" si="0"/>
        <v>5513747.2496736497</v>
      </c>
    </row>
    <row r="17" spans="1:8" ht="32" x14ac:dyDescent="0.2">
      <c r="A17" s="10" t="s">
        <v>590</v>
      </c>
      <c r="B17" s="13">
        <v>1</v>
      </c>
      <c r="C17" s="8">
        <v>226.94560000000001</v>
      </c>
      <c r="F17" s="40">
        <v>18</v>
      </c>
      <c r="G17" s="8">
        <f>C87</f>
        <v>61.2</v>
      </c>
      <c r="H17" s="53">
        <f t="shared" si="0"/>
        <v>5513808.4496736499</v>
      </c>
    </row>
    <row r="18" spans="1:8" ht="48" x14ac:dyDescent="0.2">
      <c r="A18" s="10" t="s">
        <v>673</v>
      </c>
      <c r="B18" s="13">
        <v>1</v>
      </c>
      <c r="C18" s="8">
        <v>120847.5</v>
      </c>
      <c r="F18" s="40">
        <v>20</v>
      </c>
      <c r="G18" s="8">
        <f>SUM(C88:C107)</f>
        <v>3120638.8488302701</v>
      </c>
      <c r="H18" s="53">
        <f t="shared" si="0"/>
        <v>8634447.2985039204</v>
      </c>
    </row>
    <row r="19" spans="1:8" ht="16" x14ac:dyDescent="0.2">
      <c r="A19" s="31" t="s">
        <v>893</v>
      </c>
      <c r="B19" s="23">
        <v>1</v>
      </c>
      <c r="C19" s="8">
        <v>442105.26319999999</v>
      </c>
      <c r="F19" s="40">
        <v>22</v>
      </c>
      <c r="G19" s="8">
        <f>SUM(C108:C111)</f>
        <v>224350.83000000002</v>
      </c>
      <c r="H19" s="53">
        <f t="shared" si="0"/>
        <v>8858798.1285039205</v>
      </c>
    </row>
    <row r="20" spans="1:8" ht="16" x14ac:dyDescent="0.2">
      <c r="A20" s="31" t="s">
        <v>894</v>
      </c>
      <c r="B20" s="23">
        <v>1</v>
      </c>
      <c r="C20" s="8">
        <v>757467</v>
      </c>
      <c r="F20" s="40">
        <v>23</v>
      </c>
      <c r="G20" s="8">
        <f>SUM(C112:C113)</f>
        <v>334008.33</v>
      </c>
      <c r="H20" s="53">
        <f t="shared" si="0"/>
        <v>9192806.4585039206</v>
      </c>
    </row>
    <row r="21" spans="1:8" ht="29" x14ac:dyDescent="0.2">
      <c r="A21" s="17" t="s">
        <v>869</v>
      </c>
      <c r="B21" s="13">
        <v>2</v>
      </c>
      <c r="C21" s="8">
        <v>10348.621276595748</v>
      </c>
      <c r="F21" s="40">
        <v>24</v>
      </c>
      <c r="G21" s="8">
        <f>SUM(C114:C119)</f>
        <v>135302.6810748</v>
      </c>
      <c r="H21" s="53">
        <f t="shared" si="0"/>
        <v>9328109.1395787206</v>
      </c>
    </row>
    <row r="22" spans="1:8" x14ac:dyDescent="0.2">
      <c r="A22" s="17" t="s">
        <v>879</v>
      </c>
      <c r="B22" s="23">
        <v>4</v>
      </c>
      <c r="C22" s="8">
        <v>890.86220000000003</v>
      </c>
      <c r="F22" s="40">
        <v>26</v>
      </c>
      <c r="G22" s="8">
        <f>SUM(C120:C133)</f>
        <v>196276.75860400006</v>
      </c>
      <c r="H22" s="53">
        <f t="shared" si="0"/>
        <v>9524385.8981827199</v>
      </c>
    </row>
    <row r="23" spans="1:8" x14ac:dyDescent="0.2">
      <c r="A23" s="17" t="s">
        <v>880</v>
      </c>
      <c r="B23" s="23">
        <v>4.4000000000000004</v>
      </c>
      <c r="C23" s="8">
        <v>1567.4728</v>
      </c>
      <c r="F23" s="40">
        <v>27</v>
      </c>
      <c r="G23" s="8">
        <f>SUM(C134:C135)</f>
        <v>38952</v>
      </c>
      <c r="H23" s="53">
        <f t="shared" si="0"/>
        <v>9563337.8981827199</v>
      </c>
    </row>
    <row r="24" spans="1:8" ht="29" x14ac:dyDescent="0.2">
      <c r="A24" s="17" t="s">
        <v>866</v>
      </c>
      <c r="B24" s="13">
        <v>5</v>
      </c>
      <c r="C24" s="8">
        <v>3124.0000000000005</v>
      </c>
      <c r="F24" s="40">
        <v>29</v>
      </c>
      <c r="G24" s="8">
        <f>SUM(C136:C147)</f>
        <v>42558.897960000002</v>
      </c>
      <c r="H24" s="53">
        <f t="shared" si="0"/>
        <v>9605896.7961427197</v>
      </c>
    </row>
    <row r="25" spans="1:8" x14ac:dyDescent="0.2">
      <c r="A25" s="30" t="s">
        <v>890</v>
      </c>
      <c r="B25" s="23">
        <v>5</v>
      </c>
      <c r="C25" s="8">
        <v>4464</v>
      </c>
      <c r="F25" s="40">
        <v>30</v>
      </c>
      <c r="G25" s="8">
        <f>SUM(C148:C159)</f>
        <v>997939.85315049987</v>
      </c>
      <c r="H25" s="53">
        <f t="shared" si="0"/>
        <v>10603836.64929322</v>
      </c>
    </row>
    <row r="26" spans="1:8" x14ac:dyDescent="0.2">
      <c r="A26" s="26" t="s">
        <v>883</v>
      </c>
      <c r="B26" s="23">
        <v>5.5</v>
      </c>
      <c r="C26" s="8">
        <v>934.02500000000009</v>
      </c>
      <c r="F26" s="40">
        <v>32</v>
      </c>
      <c r="G26" s="8">
        <f>SUM(C160:C163)</f>
        <v>115050.26512000001</v>
      </c>
      <c r="H26" s="53">
        <f t="shared" si="0"/>
        <v>10718886.914413219</v>
      </c>
    </row>
    <row r="27" spans="1:8" ht="64" x14ac:dyDescent="0.2">
      <c r="A27" s="10" t="s">
        <v>292</v>
      </c>
      <c r="B27" s="13">
        <v>6</v>
      </c>
      <c r="C27" s="8">
        <v>3969</v>
      </c>
      <c r="F27" s="40">
        <v>34</v>
      </c>
      <c r="G27" s="8">
        <f>SUM(C164:C199)</f>
        <v>485004.05843842</v>
      </c>
      <c r="H27" s="53">
        <f t="shared" si="0"/>
        <v>11203890.97285164</v>
      </c>
    </row>
    <row r="28" spans="1:8" ht="64" x14ac:dyDescent="0.2">
      <c r="A28" s="10" t="s">
        <v>325</v>
      </c>
      <c r="B28" s="13">
        <v>6</v>
      </c>
      <c r="C28" s="8">
        <v>105</v>
      </c>
      <c r="F28" s="40">
        <v>35</v>
      </c>
      <c r="G28" s="8">
        <f>SUM(C200:C204)</f>
        <v>10846.974114588</v>
      </c>
      <c r="H28" s="53">
        <f t="shared" si="0"/>
        <v>11214737.946966227</v>
      </c>
    </row>
    <row r="29" spans="1:8" ht="32" x14ac:dyDescent="0.2">
      <c r="A29" s="10" t="s">
        <v>525</v>
      </c>
      <c r="B29" s="13">
        <v>6</v>
      </c>
      <c r="C29" s="8">
        <v>318.14999999999998</v>
      </c>
      <c r="F29" s="40">
        <v>36</v>
      </c>
      <c r="G29" s="8">
        <f>SUM(C205:C207)</f>
        <v>18620.077679999999</v>
      </c>
      <c r="H29" s="53">
        <f t="shared" si="0"/>
        <v>11233358.024646226</v>
      </c>
    </row>
    <row r="30" spans="1:8" ht="32" x14ac:dyDescent="0.2">
      <c r="A30" s="10" t="s">
        <v>526</v>
      </c>
      <c r="B30" s="13">
        <v>6</v>
      </c>
      <c r="C30" s="8">
        <v>362.25</v>
      </c>
      <c r="F30" s="40">
        <v>37</v>
      </c>
      <c r="G30" s="8">
        <f>SUM(C208:C214)</f>
        <v>32086.215000000007</v>
      </c>
      <c r="H30" s="53">
        <f t="shared" si="0"/>
        <v>11265444.239646226</v>
      </c>
    </row>
    <row r="31" spans="1:8" ht="32" x14ac:dyDescent="0.2">
      <c r="A31" s="10" t="s">
        <v>527</v>
      </c>
      <c r="B31" s="13">
        <v>6</v>
      </c>
      <c r="C31" s="8">
        <v>548.09999999999991</v>
      </c>
      <c r="F31" s="40">
        <v>38</v>
      </c>
      <c r="G31" s="8">
        <f>SUM(C215:C220)</f>
        <v>21639.671000000002</v>
      </c>
      <c r="H31" s="53">
        <f t="shared" si="0"/>
        <v>11287083.910646226</v>
      </c>
    </row>
    <row r="32" spans="1:8" ht="32" x14ac:dyDescent="0.2">
      <c r="A32" s="10" t="s">
        <v>528</v>
      </c>
      <c r="B32" s="13">
        <v>6</v>
      </c>
      <c r="C32" s="8">
        <v>166.95</v>
      </c>
      <c r="F32" s="40">
        <v>39</v>
      </c>
      <c r="G32" s="8">
        <f>SUM(C221:C230)</f>
        <v>41579.024232299998</v>
      </c>
      <c r="H32" s="53">
        <f t="shared" si="0"/>
        <v>11328662.934878526</v>
      </c>
    </row>
    <row r="33" spans="1:8" ht="16" x14ac:dyDescent="0.2">
      <c r="A33" s="10" t="s">
        <v>581</v>
      </c>
      <c r="B33" s="13">
        <v>7</v>
      </c>
      <c r="C33" s="8">
        <v>748</v>
      </c>
      <c r="F33" s="40">
        <v>40</v>
      </c>
      <c r="G33" s="8">
        <f>SUM(C231:C234)</f>
        <v>19647.899999999998</v>
      </c>
      <c r="H33" s="53">
        <f t="shared" si="0"/>
        <v>11348310.834878527</v>
      </c>
    </row>
    <row r="34" spans="1:8" ht="48" x14ac:dyDescent="0.2">
      <c r="A34" s="10" t="s">
        <v>616</v>
      </c>
      <c r="B34" s="13">
        <v>7</v>
      </c>
      <c r="C34" s="8">
        <v>10594.5</v>
      </c>
      <c r="F34" s="40">
        <v>41</v>
      </c>
      <c r="G34" s="8">
        <f>SUM(C235:C267)</f>
        <v>577949.54262941005</v>
      </c>
      <c r="H34" s="53">
        <f t="shared" si="0"/>
        <v>11926260.377507936</v>
      </c>
    </row>
    <row r="35" spans="1:8" ht="48" x14ac:dyDescent="0.2">
      <c r="A35" s="10" t="s">
        <v>617</v>
      </c>
      <c r="B35" s="13">
        <v>7</v>
      </c>
      <c r="C35" s="8">
        <v>3493.35</v>
      </c>
      <c r="F35" s="40">
        <v>42</v>
      </c>
      <c r="G35" s="8">
        <f>SUM(C268:C269)</f>
        <v>10819.9</v>
      </c>
      <c r="H35" s="53">
        <f t="shared" si="0"/>
        <v>11937080.277507937</v>
      </c>
    </row>
    <row r="36" spans="1:8" ht="48" x14ac:dyDescent="0.2">
      <c r="A36" s="10" t="s">
        <v>616</v>
      </c>
      <c r="B36" s="13">
        <v>7</v>
      </c>
      <c r="C36" s="8">
        <v>1081.5</v>
      </c>
      <c r="F36" s="40">
        <v>46</v>
      </c>
      <c r="G36" s="8">
        <f>C270</f>
        <v>10402.56</v>
      </c>
      <c r="H36" s="53">
        <f t="shared" ref="H36:H59" si="1">H35+G36</f>
        <v>11947482.837507937</v>
      </c>
    </row>
    <row r="37" spans="1:8" ht="32" x14ac:dyDescent="0.2">
      <c r="A37" s="10" t="s">
        <v>618</v>
      </c>
      <c r="B37" s="13">
        <v>7</v>
      </c>
      <c r="C37" s="8">
        <v>1361.6100000000001</v>
      </c>
      <c r="F37" s="40">
        <v>48</v>
      </c>
      <c r="G37" s="8">
        <f>SUM(C271:C280)</f>
        <v>170585.24700000006</v>
      </c>
      <c r="H37" s="53">
        <f t="shared" si="1"/>
        <v>12118068.084507937</v>
      </c>
    </row>
    <row r="38" spans="1:8" ht="32" x14ac:dyDescent="0.2">
      <c r="A38" s="10" t="s">
        <v>619</v>
      </c>
      <c r="B38" s="13">
        <v>7</v>
      </c>
      <c r="C38" s="8">
        <v>4841.28</v>
      </c>
      <c r="F38" s="40">
        <v>50</v>
      </c>
      <c r="G38" s="8">
        <f>SUM(C281:C284)</f>
        <v>10211.3271</v>
      </c>
      <c r="H38" s="53">
        <f t="shared" si="1"/>
        <v>12128279.411607936</v>
      </c>
    </row>
    <row r="39" spans="1:8" ht="16" x14ac:dyDescent="0.2">
      <c r="A39" s="10" t="s">
        <v>622</v>
      </c>
      <c r="B39" s="13">
        <v>7</v>
      </c>
      <c r="C39" s="8">
        <v>113.39999999999999</v>
      </c>
      <c r="F39" s="40">
        <v>51</v>
      </c>
      <c r="G39" s="8">
        <f>C285</f>
        <v>1305720</v>
      </c>
      <c r="H39" s="53">
        <f t="shared" si="1"/>
        <v>13433999.411607936</v>
      </c>
    </row>
    <row r="40" spans="1:8" x14ac:dyDescent="0.2">
      <c r="A40" s="27" t="s">
        <v>886</v>
      </c>
      <c r="B40" s="29">
        <v>7</v>
      </c>
      <c r="C40" s="8">
        <v>55860</v>
      </c>
      <c r="F40" s="40">
        <v>52</v>
      </c>
      <c r="G40" s="8">
        <f>SUM(C286:C289)</f>
        <v>33450.032000000007</v>
      </c>
      <c r="H40" s="53">
        <f t="shared" si="1"/>
        <v>13467449.443607936</v>
      </c>
    </row>
    <row r="41" spans="1:8" x14ac:dyDescent="0.2">
      <c r="A41" s="26" t="s">
        <v>884</v>
      </c>
      <c r="B41" s="23">
        <v>7.5</v>
      </c>
      <c r="C41" s="8">
        <v>37600</v>
      </c>
      <c r="F41" s="40">
        <v>53</v>
      </c>
      <c r="G41" s="8">
        <f>SUM(C290:C296)</f>
        <v>2593.555848</v>
      </c>
      <c r="H41" s="53">
        <f t="shared" si="1"/>
        <v>13470042.999455936</v>
      </c>
    </row>
    <row r="42" spans="1:8" x14ac:dyDescent="0.2">
      <c r="A42" s="30" t="s">
        <v>891</v>
      </c>
      <c r="B42" s="23">
        <v>7.5</v>
      </c>
      <c r="C42" s="8">
        <v>27168.877033639801</v>
      </c>
      <c r="F42" s="40">
        <v>56</v>
      </c>
      <c r="G42" s="8">
        <f>SUM(C297:C307)</f>
        <v>110931.28964</v>
      </c>
      <c r="H42" s="53">
        <f t="shared" si="1"/>
        <v>13580974.289095936</v>
      </c>
    </row>
    <row r="43" spans="1:8" ht="32" x14ac:dyDescent="0.2">
      <c r="A43" s="10" t="s">
        <v>557</v>
      </c>
      <c r="B43" s="13">
        <v>8</v>
      </c>
      <c r="C43" s="8">
        <v>10895.85</v>
      </c>
      <c r="F43" s="40">
        <v>60</v>
      </c>
      <c r="G43" s="8">
        <f>SUM(C308:C341)</f>
        <v>654972.66923461424</v>
      </c>
      <c r="H43" s="53">
        <f t="shared" si="1"/>
        <v>14235946.958330551</v>
      </c>
    </row>
    <row r="44" spans="1:8" ht="32" x14ac:dyDescent="0.2">
      <c r="A44" s="10" t="s">
        <v>557</v>
      </c>
      <c r="B44" s="13">
        <v>8</v>
      </c>
      <c r="C44" s="8">
        <v>891.44999999999993</v>
      </c>
      <c r="F44" s="40">
        <v>63</v>
      </c>
      <c r="G44" s="8">
        <f>SUM(C342:C343)</f>
        <v>13671.45</v>
      </c>
      <c r="H44" s="53">
        <f t="shared" si="1"/>
        <v>14249618.40833055</v>
      </c>
    </row>
    <row r="45" spans="1:8" x14ac:dyDescent="0.2">
      <c r="A45" s="17" t="s">
        <v>881</v>
      </c>
      <c r="B45" s="23">
        <v>8</v>
      </c>
      <c r="C45" s="8">
        <v>18537.153760000001</v>
      </c>
      <c r="F45" s="40">
        <v>68</v>
      </c>
      <c r="G45" s="8">
        <f>SUM(C344:C347)</f>
        <v>10211.264999999999</v>
      </c>
      <c r="H45" s="53">
        <f t="shared" si="1"/>
        <v>14259829.673330551</v>
      </c>
    </row>
    <row r="46" spans="1:8" ht="64" x14ac:dyDescent="0.2">
      <c r="A46" s="10" t="s">
        <v>285</v>
      </c>
      <c r="B46" s="13">
        <v>10</v>
      </c>
      <c r="C46" s="8">
        <v>8153.8380000000006</v>
      </c>
      <c r="F46" s="40">
        <v>70</v>
      </c>
      <c r="G46" s="8">
        <f>SUM(C348:C362)</f>
        <v>592083.17249999999</v>
      </c>
      <c r="H46" s="53">
        <f t="shared" si="1"/>
        <v>14851912.84583055</v>
      </c>
    </row>
    <row r="47" spans="1:8" ht="64" x14ac:dyDescent="0.2">
      <c r="A47" s="10" t="s">
        <v>286</v>
      </c>
      <c r="B47" s="13">
        <v>10</v>
      </c>
      <c r="C47" s="8">
        <v>1538.46</v>
      </c>
      <c r="F47" s="40">
        <v>71</v>
      </c>
      <c r="G47" s="8">
        <f>SUM(C363:C365)</f>
        <v>53877.101249999992</v>
      </c>
      <c r="H47" s="53">
        <f t="shared" si="1"/>
        <v>14905789.947080551</v>
      </c>
    </row>
    <row r="48" spans="1:8" ht="80" x14ac:dyDescent="0.2">
      <c r="A48" s="10" t="s">
        <v>287</v>
      </c>
      <c r="B48" s="13">
        <v>10</v>
      </c>
      <c r="C48" s="8">
        <v>6608.3850000000002</v>
      </c>
      <c r="F48" s="40">
        <v>72</v>
      </c>
      <c r="G48" s="8">
        <f>SUM(C366:C385)</f>
        <v>118353422.55000001</v>
      </c>
      <c r="H48" s="53">
        <f t="shared" si="1"/>
        <v>133259212.49708056</v>
      </c>
    </row>
    <row r="49" spans="1:8" ht="64" x14ac:dyDescent="0.2">
      <c r="A49" s="10" t="s">
        <v>711</v>
      </c>
      <c r="B49" s="13">
        <v>10</v>
      </c>
      <c r="C49" s="8">
        <v>15840</v>
      </c>
      <c r="F49" s="40">
        <v>73</v>
      </c>
      <c r="G49" s="8">
        <f>C386</f>
        <v>260496.00000000003</v>
      </c>
      <c r="H49" s="53">
        <f t="shared" si="1"/>
        <v>133519708.49708056</v>
      </c>
    </row>
    <row r="50" spans="1:8" x14ac:dyDescent="0.2">
      <c r="A50" s="17" t="s">
        <v>867</v>
      </c>
      <c r="B50" s="13">
        <v>10</v>
      </c>
      <c r="C50" s="8">
        <v>532728</v>
      </c>
      <c r="F50" s="40">
        <v>75</v>
      </c>
      <c r="G50" s="8">
        <f>SUM(C387:C418)</f>
        <v>16957779.987541534</v>
      </c>
      <c r="H50" s="53">
        <f t="shared" si="1"/>
        <v>150477488.48462209</v>
      </c>
    </row>
    <row r="51" spans="1:8" x14ac:dyDescent="0.2">
      <c r="A51" s="21" t="s">
        <v>872</v>
      </c>
      <c r="B51" s="13">
        <v>10</v>
      </c>
      <c r="C51" s="8">
        <v>24117.57</v>
      </c>
      <c r="F51" s="40">
        <v>76</v>
      </c>
      <c r="G51" s="8">
        <f>SUM(C419:C422)</f>
        <v>888.81924500000025</v>
      </c>
      <c r="H51" s="53">
        <f t="shared" si="1"/>
        <v>150478377.3038671</v>
      </c>
    </row>
    <row r="52" spans="1:8" x14ac:dyDescent="0.2">
      <c r="A52" s="22" t="s">
        <v>875</v>
      </c>
      <c r="B52" s="13">
        <v>10</v>
      </c>
      <c r="C52" s="8">
        <v>33127.9</v>
      </c>
      <c r="F52" s="40">
        <v>80</v>
      </c>
      <c r="G52" s="8">
        <f>SUM(C423:C430)</f>
        <v>38903.132775000005</v>
      </c>
      <c r="H52" s="53">
        <f t="shared" si="1"/>
        <v>150517280.43664211</v>
      </c>
    </row>
    <row r="53" spans="1:8" x14ac:dyDescent="0.2">
      <c r="A53" s="26" t="s">
        <v>885</v>
      </c>
      <c r="B53" s="23">
        <v>10</v>
      </c>
      <c r="C53" s="8">
        <v>42786.37</v>
      </c>
      <c r="F53" s="40">
        <v>82</v>
      </c>
      <c r="G53" s="8">
        <f>SUM(C431:C435)</f>
        <v>47610.675000000003</v>
      </c>
      <c r="H53" s="53">
        <f t="shared" si="1"/>
        <v>150564891.11164212</v>
      </c>
    </row>
    <row r="54" spans="1:8" x14ac:dyDescent="0.2">
      <c r="A54" s="30" t="s">
        <v>888</v>
      </c>
      <c r="B54" s="23">
        <v>10</v>
      </c>
      <c r="C54" s="8">
        <v>5478.6189984144203</v>
      </c>
      <c r="F54" s="40">
        <v>85</v>
      </c>
      <c r="G54" s="8">
        <f>SUM(C436)</f>
        <v>6161872.5</v>
      </c>
      <c r="H54" s="53">
        <f t="shared" si="1"/>
        <v>156726763.61164212</v>
      </c>
    </row>
    <row r="55" spans="1:8" x14ac:dyDescent="0.2">
      <c r="A55" s="30" t="s">
        <v>892</v>
      </c>
      <c r="B55" s="23">
        <v>10</v>
      </c>
      <c r="C55" s="8">
        <v>29313.546580000002</v>
      </c>
      <c r="F55" s="40">
        <v>93</v>
      </c>
      <c r="G55" s="8">
        <f>SUM(C437:C438)</f>
        <v>72889.799999999988</v>
      </c>
      <c r="H55" s="53">
        <f t="shared" si="1"/>
        <v>156799653.41164213</v>
      </c>
    </row>
    <row r="56" spans="1:8" ht="48" x14ac:dyDescent="0.2">
      <c r="A56" s="10" t="s">
        <v>574</v>
      </c>
      <c r="B56" s="13">
        <v>11</v>
      </c>
      <c r="C56" s="8">
        <v>8064</v>
      </c>
      <c r="F56" s="40">
        <v>108</v>
      </c>
      <c r="G56" s="8">
        <f>SUM(C439:C440)</f>
        <v>114797.1225</v>
      </c>
      <c r="H56" s="53">
        <f t="shared" si="1"/>
        <v>156914450.53414214</v>
      </c>
    </row>
    <row r="57" spans="1:8" ht="48" x14ac:dyDescent="0.2">
      <c r="A57" s="10" t="s">
        <v>575</v>
      </c>
      <c r="B57" s="13">
        <v>11</v>
      </c>
      <c r="C57" s="8">
        <v>1990.8</v>
      </c>
      <c r="F57" s="40">
        <v>150</v>
      </c>
      <c r="G57" s="8">
        <f>SUM(C441:C448)</f>
        <v>1171736</v>
      </c>
      <c r="H57" s="53">
        <f t="shared" si="1"/>
        <v>158086186.53414214</v>
      </c>
    </row>
    <row r="58" spans="1:8" ht="48" x14ac:dyDescent="0.2">
      <c r="A58" s="10" t="s">
        <v>576</v>
      </c>
      <c r="B58" s="13">
        <v>11</v>
      </c>
      <c r="C58" s="8">
        <v>50.4</v>
      </c>
      <c r="F58" s="40">
        <v>300</v>
      </c>
      <c r="G58" s="8">
        <f>SUM(C449:C456)</f>
        <v>426670.02</v>
      </c>
      <c r="H58" s="53">
        <f t="shared" si="1"/>
        <v>158512856.55414215</v>
      </c>
    </row>
    <row r="59" spans="1:8" ht="16" thickBot="1" x14ac:dyDescent="0.25">
      <c r="A59" s="25" t="s">
        <v>882</v>
      </c>
      <c r="B59" s="23">
        <v>12.5</v>
      </c>
      <c r="C59" s="8">
        <v>53013.43</v>
      </c>
      <c r="F59" s="47">
        <v>750</v>
      </c>
      <c r="G59" s="50">
        <f>SUM(C457:C500)</f>
        <v>1817986.1283375006</v>
      </c>
      <c r="H59" s="54">
        <f t="shared" si="1"/>
        <v>160330842.68247965</v>
      </c>
    </row>
    <row r="60" spans="1:8" ht="32" x14ac:dyDescent="0.2">
      <c r="A60" s="10" t="s">
        <v>573</v>
      </c>
      <c r="B60" s="13">
        <v>13</v>
      </c>
      <c r="C60" s="8">
        <v>65352</v>
      </c>
    </row>
    <row r="61" spans="1:8" x14ac:dyDescent="0.2">
      <c r="A61" s="17" t="s">
        <v>870</v>
      </c>
      <c r="B61" s="13">
        <v>13</v>
      </c>
      <c r="C61" s="8">
        <v>2650.7999999999997</v>
      </c>
    </row>
    <row r="62" spans="1:8" x14ac:dyDescent="0.2">
      <c r="A62" s="17" t="s">
        <v>878</v>
      </c>
      <c r="B62" s="23">
        <v>14</v>
      </c>
      <c r="C62" s="8">
        <v>6326.5</v>
      </c>
    </row>
    <row r="63" spans="1:8" ht="32" x14ac:dyDescent="0.2">
      <c r="A63" s="10" t="s">
        <v>541</v>
      </c>
      <c r="B63" s="13">
        <v>15</v>
      </c>
      <c r="C63" s="8">
        <v>13736</v>
      </c>
    </row>
    <row r="64" spans="1:8" ht="32" x14ac:dyDescent="0.2">
      <c r="A64" s="10" t="s">
        <v>542</v>
      </c>
      <c r="B64" s="13">
        <v>15</v>
      </c>
      <c r="C64" s="8">
        <v>156.4</v>
      </c>
    </row>
    <row r="65" spans="1:3" ht="48" x14ac:dyDescent="0.2">
      <c r="A65" s="10" t="s">
        <v>543</v>
      </c>
      <c r="B65" s="13">
        <v>15</v>
      </c>
      <c r="C65" s="8">
        <v>236.64000000000004</v>
      </c>
    </row>
    <row r="66" spans="1:3" ht="32" x14ac:dyDescent="0.2">
      <c r="A66" s="10" t="s">
        <v>544</v>
      </c>
      <c r="B66" s="13">
        <v>15</v>
      </c>
      <c r="C66" s="8">
        <v>72.08</v>
      </c>
    </row>
    <row r="67" spans="1:3" ht="32" x14ac:dyDescent="0.2">
      <c r="A67" s="10" t="s">
        <v>586</v>
      </c>
      <c r="B67" s="13">
        <v>15</v>
      </c>
      <c r="C67" s="8">
        <v>149.328</v>
      </c>
    </row>
    <row r="68" spans="1:3" ht="32" x14ac:dyDescent="0.2">
      <c r="A68" s="10" t="s">
        <v>586</v>
      </c>
      <c r="B68" s="13">
        <v>15</v>
      </c>
      <c r="C68" s="8">
        <v>461.69280000000009</v>
      </c>
    </row>
    <row r="69" spans="1:3" ht="16" x14ac:dyDescent="0.2">
      <c r="A69" s="10" t="s">
        <v>621</v>
      </c>
      <c r="B69" s="13">
        <v>15</v>
      </c>
      <c r="C69" s="8">
        <v>366187.5</v>
      </c>
    </row>
    <row r="70" spans="1:3" x14ac:dyDescent="0.2">
      <c r="A70" s="17" t="s">
        <v>861</v>
      </c>
      <c r="B70" s="13">
        <v>15</v>
      </c>
      <c r="C70" s="8">
        <v>1398.4</v>
      </c>
    </row>
    <row r="71" spans="1:3" x14ac:dyDescent="0.2">
      <c r="A71" s="21" t="s">
        <v>871</v>
      </c>
      <c r="B71" s="13">
        <v>15</v>
      </c>
      <c r="C71" s="8">
        <v>117252.0588</v>
      </c>
    </row>
    <row r="72" spans="1:3" x14ac:dyDescent="0.2">
      <c r="A72" s="17" t="s">
        <v>876</v>
      </c>
      <c r="B72" s="23">
        <v>15</v>
      </c>
      <c r="C72" s="8">
        <v>14949.267400000001</v>
      </c>
    </row>
    <row r="73" spans="1:3" x14ac:dyDescent="0.2">
      <c r="A73" s="30" t="s">
        <v>887</v>
      </c>
      <c r="B73" s="23">
        <v>15</v>
      </c>
      <c r="C73" s="8">
        <v>4014.1875</v>
      </c>
    </row>
    <row r="74" spans="1:3" ht="32" x14ac:dyDescent="0.2">
      <c r="A74" s="10" t="s">
        <v>533</v>
      </c>
      <c r="B74" s="13">
        <v>17</v>
      </c>
      <c r="C74" s="8">
        <v>61.385999999999996</v>
      </c>
    </row>
    <row r="75" spans="1:3" ht="32" x14ac:dyDescent="0.2">
      <c r="A75" s="10" t="s">
        <v>534</v>
      </c>
      <c r="B75" s="13">
        <v>17</v>
      </c>
      <c r="C75" s="8">
        <v>9.4440000000000008</v>
      </c>
    </row>
    <row r="76" spans="1:3" ht="32" x14ac:dyDescent="0.2">
      <c r="A76" s="10" t="s">
        <v>535</v>
      </c>
      <c r="B76" s="13">
        <v>17</v>
      </c>
      <c r="C76" s="8">
        <v>70.83</v>
      </c>
    </row>
    <row r="77" spans="1:3" ht="32" x14ac:dyDescent="0.2">
      <c r="A77" s="10" t="s">
        <v>536</v>
      </c>
      <c r="B77" s="13">
        <v>17</v>
      </c>
      <c r="C77" s="8">
        <v>9.4440000000000008</v>
      </c>
    </row>
    <row r="78" spans="1:3" ht="32" x14ac:dyDescent="0.2">
      <c r="A78" s="10" t="s">
        <v>537</v>
      </c>
      <c r="B78" s="13">
        <v>17</v>
      </c>
      <c r="C78" s="8">
        <v>84.995999999999995</v>
      </c>
    </row>
    <row r="79" spans="1:3" ht="32" x14ac:dyDescent="0.2">
      <c r="A79" s="10" t="s">
        <v>538</v>
      </c>
      <c r="B79" s="13">
        <v>17</v>
      </c>
      <c r="C79" s="8">
        <v>84.995999999999995</v>
      </c>
    </row>
    <row r="80" spans="1:3" ht="32" x14ac:dyDescent="0.2">
      <c r="A80" s="10" t="s">
        <v>539</v>
      </c>
      <c r="B80" s="13">
        <v>17</v>
      </c>
      <c r="C80" s="8">
        <v>28.332000000000001</v>
      </c>
    </row>
    <row r="81" spans="1:3" ht="32" x14ac:dyDescent="0.2">
      <c r="A81" s="10" t="s">
        <v>540</v>
      </c>
      <c r="B81" s="13">
        <v>17</v>
      </c>
      <c r="C81" s="8">
        <v>18.888000000000002</v>
      </c>
    </row>
    <row r="82" spans="1:3" ht="32" x14ac:dyDescent="0.2">
      <c r="A82" s="10" t="s">
        <v>533</v>
      </c>
      <c r="B82" s="13">
        <v>17</v>
      </c>
      <c r="C82" s="8">
        <v>33.054000000000002</v>
      </c>
    </row>
    <row r="83" spans="1:3" ht="32" x14ac:dyDescent="0.2">
      <c r="A83" s="10" t="s">
        <v>535</v>
      </c>
      <c r="B83" s="13">
        <v>17</v>
      </c>
      <c r="C83" s="8">
        <v>37.776000000000003</v>
      </c>
    </row>
    <row r="84" spans="1:3" ht="32" x14ac:dyDescent="0.2">
      <c r="A84" s="10" t="s">
        <v>537</v>
      </c>
      <c r="B84" s="13">
        <v>17</v>
      </c>
      <c r="C84" s="8">
        <v>51.942000000000007</v>
      </c>
    </row>
    <row r="85" spans="1:3" ht="32" x14ac:dyDescent="0.2">
      <c r="A85" s="10" t="s">
        <v>539</v>
      </c>
      <c r="B85" s="13">
        <v>17</v>
      </c>
      <c r="C85" s="8">
        <v>14.166</v>
      </c>
    </row>
    <row r="86" spans="1:3" x14ac:dyDescent="0.2">
      <c r="A86" s="17" t="s">
        <v>877</v>
      </c>
      <c r="B86" s="23">
        <v>17</v>
      </c>
      <c r="C86" s="8">
        <v>6426.2150000000001</v>
      </c>
    </row>
    <row r="87" spans="1:3" ht="64" x14ac:dyDescent="0.2">
      <c r="A87" s="10" t="s">
        <v>220</v>
      </c>
      <c r="B87" s="13">
        <v>18</v>
      </c>
      <c r="C87" s="8">
        <v>61.2</v>
      </c>
    </row>
    <row r="88" spans="1:3" ht="64" x14ac:dyDescent="0.2">
      <c r="A88" s="10" t="s">
        <v>405</v>
      </c>
      <c r="B88" s="13">
        <v>20</v>
      </c>
      <c r="C88" s="8">
        <v>1896.259203072</v>
      </c>
    </row>
    <row r="89" spans="1:3" ht="64" x14ac:dyDescent="0.2">
      <c r="A89" s="10" t="s">
        <v>406</v>
      </c>
      <c r="B89" s="13">
        <v>20</v>
      </c>
      <c r="C89" s="8">
        <v>4198.3598592000008</v>
      </c>
    </row>
    <row r="90" spans="1:3" ht="64" x14ac:dyDescent="0.2">
      <c r="A90" s="10" t="s">
        <v>407</v>
      </c>
      <c r="B90" s="13">
        <v>20</v>
      </c>
      <c r="C90" s="8">
        <v>1189535.2934399999</v>
      </c>
    </row>
    <row r="91" spans="1:3" ht="64" x14ac:dyDescent="0.2">
      <c r="A91" s="10" t="s">
        <v>408</v>
      </c>
      <c r="B91" s="13">
        <v>20</v>
      </c>
      <c r="C91" s="8">
        <v>209917.99295999997</v>
      </c>
    </row>
    <row r="92" spans="1:3" ht="64" x14ac:dyDescent="0.2">
      <c r="A92" s="10" t="s">
        <v>412</v>
      </c>
      <c r="B92" s="13">
        <v>20</v>
      </c>
      <c r="C92" s="8">
        <v>1679343.9436799998</v>
      </c>
    </row>
    <row r="93" spans="1:3" ht="32" x14ac:dyDescent="0.2">
      <c r="A93" s="10" t="s">
        <v>101</v>
      </c>
      <c r="B93" s="13">
        <v>20</v>
      </c>
      <c r="C93" s="8">
        <v>1034.3667840000001</v>
      </c>
    </row>
    <row r="94" spans="1:3" ht="16" x14ac:dyDescent="0.2">
      <c r="A94" s="10" t="s">
        <v>53</v>
      </c>
      <c r="B94" s="13">
        <v>20</v>
      </c>
      <c r="C94" s="8">
        <v>622.16582400000004</v>
      </c>
    </row>
    <row r="95" spans="1:3" ht="64" x14ac:dyDescent="0.2">
      <c r="A95" s="10" t="s">
        <v>569</v>
      </c>
      <c r="B95" s="13">
        <v>20</v>
      </c>
      <c r="C95" s="8">
        <v>9506.3846400000002</v>
      </c>
    </row>
    <row r="96" spans="1:3" ht="64" x14ac:dyDescent="0.2">
      <c r="A96" s="10" t="s">
        <v>570</v>
      </c>
      <c r="B96" s="13">
        <v>20</v>
      </c>
      <c r="C96" s="8">
        <v>38.643840000000004</v>
      </c>
    </row>
    <row r="97" spans="1:3" ht="16" x14ac:dyDescent="0.2">
      <c r="A97" s="10" t="s">
        <v>571</v>
      </c>
      <c r="B97" s="13">
        <v>20</v>
      </c>
      <c r="C97" s="8">
        <v>11856</v>
      </c>
    </row>
    <row r="98" spans="1:3" ht="48" x14ac:dyDescent="0.2">
      <c r="A98" s="10" t="s">
        <v>620</v>
      </c>
      <c r="B98" s="13">
        <v>20</v>
      </c>
      <c r="C98" s="8">
        <v>4232.8</v>
      </c>
    </row>
    <row r="99" spans="1:3" ht="16" x14ac:dyDescent="0.2">
      <c r="A99" s="10" t="s">
        <v>627</v>
      </c>
      <c r="B99" s="13">
        <v>20</v>
      </c>
      <c r="C99" s="8">
        <v>7.909650000000001</v>
      </c>
    </row>
    <row r="100" spans="1:3" ht="16" x14ac:dyDescent="0.2">
      <c r="A100" s="10" t="s">
        <v>627</v>
      </c>
      <c r="B100" s="13">
        <v>20</v>
      </c>
      <c r="C100" s="8">
        <v>7.909650000000001</v>
      </c>
    </row>
    <row r="101" spans="1:3" ht="16" x14ac:dyDescent="0.2">
      <c r="A101" s="10" t="s">
        <v>628</v>
      </c>
      <c r="B101" s="13">
        <v>20</v>
      </c>
      <c r="C101" s="8">
        <v>7.909650000000001</v>
      </c>
    </row>
    <row r="102" spans="1:3" ht="16" x14ac:dyDescent="0.2">
      <c r="A102" s="10" t="s">
        <v>628</v>
      </c>
      <c r="B102" s="13">
        <v>20</v>
      </c>
      <c r="C102" s="8">
        <v>7.909650000000001</v>
      </c>
    </row>
    <row r="103" spans="1:3" x14ac:dyDescent="0.2">
      <c r="A103" s="17" t="s">
        <v>860</v>
      </c>
      <c r="B103" s="13">
        <v>20</v>
      </c>
      <c r="C103" s="8">
        <v>2825</v>
      </c>
    </row>
    <row r="104" spans="1:3" x14ac:dyDescent="0.2">
      <c r="A104" s="17" t="s">
        <v>862</v>
      </c>
      <c r="B104" s="13">
        <v>20</v>
      </c>
      <c r="C104" s="8">
        <v>1800</v>
      </c>
    </row>
    <row r="105" spans="1:3" x14ac:dyDescent="0.2">
      <c r="A105" s="17" t="s">
        <v>863</v>
      </c>
      <c r="B105" s="13">
        <v>20</v>
      </c>
      <c r="C105" s="8">
        <v>1000</v>
      </c>
    </row>
    <row r="106" spans="1:3" x14ac:dyDescent="0.2">
      <c r="A106" s="21" t="s">
        <v>873</v>
      </c>
      <c r="B106" s="13">
        <v>20</v>
      </c>
      <c r="C106" s="8">
        <v>1800</v>
      </c>
    </row>
    <row r="107" spans="1:3" x14ac:dyDescent="0.2">
      <c r="A107" s="21" t="s">
        <v>874</v>
      </c>
      <c r="B107" s="13">
        <v>20</v>
      </c>
      <c r="C107" s="8">
        <v>1000</v>
      </c>
    </row>
    <row r="108" spans="1:3" ht="64" x14ac:dyDescent="0.2">
      <c r="A108" s="10" t="s">
        <v>297</v>
      </c>
      <c r="B108" s="13">
        <v>22</v>
      </c>
      <c r="C108" s="8">
        <v>29058.749999999996</v>
      </c>
    </row>
    <row r="109" spans="1:3" ht="64" x14ac:dyDescent="0.2">
      <c r="A109" s="10" t="s">
        <v>298</v>
      </c>
      <c r="B109" s="13">
        <v>22</v>
      </c>
      <c r="C109" s="8">
        <v>38745.000000000007</v>
      </c>
    </row>
    <row r="110" spans="1:3" ht="96" x14ac:dyDescent="0.2">
      <c r="A110" s="10" t="s">
        <v>492</v>
      </c>
      <c r="B110" s="13">
        <v>22</v>
      </c>
      <c r="C110" s="8">
        <v>2647.08</v>
      </c>
    </row>
    <row r="111" spans="1:3" ht="96" x14ac:dyDescent="0.2">
      <c r="A111" s="10" t="s">
        <v>493</v>
      </c>
      <c r="B111" s="13">
        <v>22</v>
      </c>
      <c r="C111" s="8">
        <v>153900</v>
      </c>
    </row>
    <row r="112" spans="1:3" ht="32" x14ac:dyDescent="0.2">
      <c r="A112" s="10" t="s">
        <v>707</v>
      </c>
      <c r="B112" s="13">
        <v>23</v>
      </c>
      <c r="C112" s="8">
        <v>331912.08</v>
      </c>
    </row>
    <row r="113" spans="1:3" ht="16" x14ac:dyDescent="0.2">
      <c r="A113" s="10" t="s">
        <v>708</v>
      </c>
      <c r="B113" s="13">
        <v>23</v>
      </c>
      <c r="C113" s="8">
        <v>2096.25</v>
      </c>
    </row>
    <row r="114" spans="1:3" ht="32" x14ac:dyDescent="0.2">
      <c r="A114" s="10" t="s">
        <v>821</v>
      </c>
      <c r="B114" s="13">
        <v>24</v>
      </c>
      <c r="C114" s="8">
        <v>8962.4566584000004</v>
      </c>
    </row>
    <row r="115" spans="1:3" ht="32" x14ac:dyDescent="0.2">
      <c r="A115" s="10" t="s">
        <v>822</v>
      </c>
      <c r="B115" s="13">
        <v>24</v>
      </c>
      <c r="C115" s="8">
        <v>10507.707806400002</v>
      </c>
    </row>
    <row r="116" spans="1:3" ht="16" x14ac:dyDescent="0.2">
      <c r="A116" s="10" t="s">
        <v>841</v>
      </c>
      <c r="B116" s="13">
        <v>24</v>
      </c>
      <c r="C116" s="8">
        <v>37282.249920000009</v>
      </c>
    </row>
    <row r="117" spans="1:3" ht="16" x14ac:dyDescent="0.2">
      <c r="A117" s="10" t="s">
        <v>842</v>
      </c>
      <c r="B117" s="13">
        <v>24</v>
      </c>
      <c r="C117" s="8">
        <v>36546.416039999996</v>
      </c>
    </row>
    <row r="118" spans="1:3" ht="32" x14ac:dyDescent="0.2">
      <c r="A118" s="10" t="s">
        <v>843</v>
      </c>
      <c r="B118" s="13">
        <v>24</v>
      </c>
      <c r="C118" s="8">
        <v>36546.416039999996</v>
      </c>
    </row>
    <row r="119" spans="1:3" ht="32" x14ac:dyDescent="0.2">
      <c r="A119" s="10" t="s">
        <v>844</v>
      </c>
      <c r="B119" s="13">
        <v>24</v>
      </c>
      <c r="C119" s="8">
        <v>5457.4346100000012</v>
      </c>
    </row>
    <row r="120" spans="1:3" ht="64" x14ac:dyDescent="0.2">
      <c r="A120" s="10" t="s">
        <v>261</v>
      </c>
      <c r="B120" s="13">
        <v>26</v>
      </c>
      <c r="C120" s="8">
        <v>1360.0000000000002</v>
      </c>
    </row>
    <row r="121" spans="1:3" ht="64" x14ac:dyDescent="0.2">
      <c r="A121" s="10" t="s">
        <v>262</v>
      </c>
      <c r="B121" s="13">
        <v>26</v>
      </c>
      <c r="C121" s="8">
        <v>18280</v>
      </c>
    </row>
    <row r="122" spans="1:3" ht="96" x14ac:dyDescent="0.2">
      <c r="A122" s="10" t="s">
        <v>263</v>
      </c>
      <c r="B122" s="13">
        <v>26</v>
      </c>
      <c r="C122" s="8">
        <v>53.959999999999994</v>
      </c>
    </row>
    <row r="123" spans="1:3" ht="96" x14ac:dyDescent="0.2">
      <c r="A123" s="10" t="s">
        <v>264</v>
      </c>
      <c r="B123" s="13">
        <v>26</v>
      </c>
      <c r="C123" s="8">
        <v>7.6000000000000014</v>
      </c>
    </row>
    <row r="124" spans="1:3" ht="96" x14ac:dyDescent="0.2">
      <c r="A124" s="10" t="s">
        <v>265</v>
      </c>
      <c r="B124" s="13">
        <v>26</v>
      </c>
      <c r="C124" s="8">
        <v>17.48</v>
      </c>
    </row>
    <row r="125" spans="1:3" ht="96" x14ac:dyDescent="0.2">
      <c r="A125" s="10" t="s">
        <v>266</v>
      </c>
      <c r="B125" s="13">
        <v>26</v>
      </c>
      <c r="C125" s="8">
        <v>51516.000000000007</v>
      </c>
    </row>
    <row r="126" spans="1:3" ht="16" x14ac:dyDescent="0.2">
      <c r="A126" s="10" t="s">
        <v>272</v>
      </c>
      <c r="B126" s="13">
        <v>26</v>
      </c>
      <c r="C126" s="8">
        <v>15694.511399999998</v>
      </c>
    </row>
    <row r="127" spans="1:3" ht="64" x14ac:dyDescent="0.2">
      <c r="A127" s="10" t="s">
        <v>299</v>
      </c>
      <c r="B127" s="13">
        <v>26</v>
      </c>
      <c r="C127" s="8">
        <v>33464.371961999976</v>
      </c>
    </row>
    <row r="128" spans="1:3" ht="48" x14ac:dyDescent="0.2">
      <c r="A128" s="10" t="s">
        <v>302</v>
      </c>
      <c r="B128" s="13">
        <v>26</v>
      </c>
      <c r="C128" s="8">
        <v>61983.977742000054</v>
      </c>
    </row>
    <row r="129" spans="1:3" ht="16" x14ac:dyDescent="0.2">
      <c r="A129" s="10" t="s">
        <v>522</v>
      </c>
      <c r="B129" s="13">
        <v>26</v>
      </c>
      <c r="C129" s="8">
        <v>5292.7830000000013</v>
      </c>
    </row>
    <row r="130" spans="1:3" ht="16" x14ac:dyDescent="0.2">
      <c r="A130" s="10" t="s">
        <v>523</v>
      </c>
      <c r="B130" s="13">
        <v>26</v>
      </c>
      <c r="C130" s="8">
        <v>5292.7830000000013</v>
      </c>
    </row>
    <row r="131" spans="1:3" ht="16" x14ac:dyDescent="0.2">
      <c r="A131" s="10" t="s">
        <v>524</v>
      </c>
      <c r="B131" s="13">
        <v>26</v>
      </c>
      <c r="C131" s="8">
        <v>2646.3915000000006</v>
      </c>
    </row>
    <row r="132" spans="1:3" ht="48" x14ac:dyDescent="0.2">
      <c r="A132" s="10" t="s">
        <v>606</v>
      </c>
      <c r="B132" s="13">
        <v>26</v>
      </c>
      <c r="C132" s="8">
        <v>333.45</v>
      </c>
    </row>
    <row r="133" spans="1:3" ht="48" x14ac:dyDescent="0.2">
      <c r="A133" s="10" t="s">
        <v>607</v>
      </c>
      <c r="B133" s="13">
        <v>26</v>
      </c>
      <c r="C133" s="8">
        <v>333.45</v>
      </c>
    </row>
    <row r="134" spans="1:3" ht="48" x14ac:dyDescent="0.2">
      <c r="A134" s="10" t="s">
        <v>553</v>
      </c>
      <c r="B134" s="13">
        <v>27</v>
      </c>
      <c r="C134" s="8">
        <v>37440</v>
      </c>
    </row>
    <row r="135" spans="1:3" ht="48" x14ac:dyDescent="0.2">
      <c r="A135" s="10" t="s">
        <v>554</v>
      </c>
      <c r="B135" s="13">
        <v>27</v>
      </c>
      <c r="C135" s="8">
        <v>1512</v>
      </c>
    </row>
    <row r="136" spans="1:3" ht="32" x14ac:dyDescent="0.2">
      <c r="A136" s="10" t="s">
        <v>389</v>
      </c>
      <c r="B136" s="13">
        <v>29</v>
      </c>
      <c r="C136" s="8">
        <v>11789.44</v>
      </c>
    </row>
    <row r="137" spans="1:3" ht="32" x14ac:dyDescent="0.2">
      <c r="A137" s="10" t="s">
        <v>390</v>
      </c>
      <c r="B137" s="13">
        <v>29</v>
      </c>
      <c r="C137" s="8">
        <v>3461.12</v>
      </c>
    </row>
    <row r="138" spans="1:3" ht="48" x14ac:dyDescent="0.2">
      <c r="A138" s="10" t="s">
        <v>391</v>
      </c>
      <c r="B138" s="13">
        <v>29</v>
      </c>
      <c r="C138" s="8">
        <v>973.44000000000017</v>
      </c>
    </row>
    <row r="139" spans="1:3" ht="32" x14ac:dyDescent="0.2">
      <c r="A139" s="10" t="s">
        <v>392</v>
      </c>
      <c r="B139" s="13">
        <v>29</v>
      </c>
      <c r="C139" s="8">
        <v>713.85599999999988</v>
      </c>
    </row>
    <row r="140" spans="1:3" ht="64" x14ac:dyDescent="0.2">
      <c r="A140" s="10" t="s">
        <v>397</v>
      </c>
      <c r="B140" s="13">
        <v>29</v>
      </c>
      <c r="C140" s="8">
        <v>1361.7072000000001</v>
      </c>
    </row>
    <row r="141" spans="1:3" ht="48" x14ac:dyDescent="0.2">
      <c r="A141" s="10" t="s">
        <v>398</v>
      </c>
      <c r="B141" s="13">
        <v>29</v>
      </c>
      <c r="C141" s="8">
        <v>106.47936</v>
      </c>
    </row>
    <row r="142" spans="1:3" ht="64" x14ac:dyDescent="0.2">
      <c r="A142" s="10" t="s">
        <v>401</v>
      </c>
      <c r="B142" s="13">
        <v>29</v>
      </c>
      <c r="C142" s="8">
        <v>2853.1008000000002</v>
      </c>
    </row>
    <row r="143" spans="1:3" ht="48" x14ac:dyDescent="0.2">
      <c r="A143" s="10" t="s">
        <v>402</v>
      </c>
      <c r="B143" s="13">
        <v>29</v>
      </c>
      <c r="C143" s="8">
        <v>40.953599999999994</v>
      </c>
    </row>
    <row r="144" spans="1:3" ht="48" x14ac:dyDescent="0.2">
      <c r="A144" s="10" t="s">
        <v>403</v>
      </c>
      <c r="B144" s="13">
        <v>29</v>
      </c>
      <c r="C144" s="8">
        <v>40.953600000000002</v>
      </c>
    </row>
    <row r="145" spans="1:3" ht="32" x14ac:dyDescent="0.2">
      <c r="A145" s="10" t="s">
        <v>404</v>
      </c>
      <c r="B145" s="13">
        <v>29</v>
      </c>
      <c r="C145" s="8">
        <v>163.81439999999998</v>
      </c>
    </row>
    <row r="146" spans="1:3" ht="48" x14ac:dyDescent="0.2">
      <c r="A146" s="10" t="s">
        <v>567</v>
      </c>
      <c r="B146" s="13">
        <v>29</v>
      </c>
      <c r="C146" s="8">
        <v>20968.793999999998</v>
      </c>
    </row>
    <row r="147" spans="1:3" ht="48" x14ac:dyDescent="0.2">
      <c r="A147" s="10" t="s">
        <v>568</v>
      </c>
      <c r="B147" s="13">
        <v>29</v>
      </c>
      <c r="C147" s="8">
        <v>85.239000000000004</v>
      </c>
    </row>
    <row r="148" spans="1:3" ht="112" x14ac:dyDescent="0.2">
      <c r="A148" s="10" t="s">
        <v>279</v>
      </c>
      <c r="B148" s="13">
        <v>30</v>
      </c>
      <c r="C148" s="8">
        <v>5625.1008000000002</v>
      </c>
    </row>
    <row r="149" spans="1:3" ht="112" x14ac:dyDescent="0.2">
      <c r="A149" s="10" t="s">
        <v>280</v>
      </c>
      <c r="B149" s="13">
        <v>30</v>
      </c>
      <c r="C149" s="8">
        <v>4196.9663999999993</v>
      </c>
    </row>
    <row r="150" spans="1:3" ht="80" x14ac:dyDescent="0.2">
      <c r="A150" s="10" t="s">
        <v>281</v>
      </c>
      <c r="B150" s="13">
        <v>30</v>
      </c>
      <c r="C150" s="8">
        <v>16525.555200000003</v>
      </c>
    </row>
    <row r="151" spans="1:3" ht="64" x14ac:dyDescent="0.2">
      <c r="A151" s="10" t="s">
        <v>282</v>
      </c>
      <c r="B151" s="13">
        <v>30</v>
      </c>
      <c r="C151" s="8">
        <v>4328.1216000000004</v>
      </c>
    </row>
    <row r="152" spans="1:3" ht="64" x14ac:dyDescent="0.2">
      <c r="A152" s="10" t="s">
        <v>283</v>
      </c>
      <c r="B152" s="13">
        <v>30</v>
      </c>
      <c r="C152" s="8">
        <v>708.23808000000008</v>
      </c>
    </row>
    <row r="153" spans="1:3" ht="64" x14ac:dyDescent="0.2">
      <c r="A153" s="10" t="s">
        <v>464</v>
      </c>
      <c r="B153" s="13">
        <v>30</v>
      </c>
      <c r="C153" s="8">
        <v>146680.94385000001</v>
      </c>
    </row>
    <row r="154" spans="1:3" ht="64" x14ac:dyDescent="0.2">
      <c r="A154" s="10" t="s">
        <v>465</v>
      </c>
      <c r="B154" s="13">
        <v>30</v>
      </c>
      <c r="C154" s="8">
        <v>223142.94450000001</v>
      </c>
    </row>
    <row r="155" spans="1:3" ht="48" x14ac:dyDescent="0.2">
      <c r="A155" s="10" t="s">
        <v>466</v>
      </c>
      <c r="B155" s="13">
        <v>30</v>
      </c>
      <c r="C155" s="8">
        <v>80294.37255</v>
      </c>
    </row>
    <row r="156" spans="1:3" ht="48" x14ac:dyDescent="0.2">
      <c r="A156" s="10" t="s">
        <v>467</v>
      </c>
      <c r="B156" s="13">
        <v>30</v>
      </c>
      <c r="C156" s="8">
        <v>106560.42439499999</v>
      </c>
    </row>
    <row r="157" spans="1:3" ht="64" x14ac:dyDescent="0.2">
      <c r="A157" s="10" t="s">
        <v>468</v>
      </c>
      <c r="B157" s="13">
        <v>30</v>
      </c>
      <c r="C157" s="8">
        <v>409021.18424999999</v>
      </c>
    </row>
    <row r="158" spans="1:3" ht="32" x14ac:dyDescent="0.2">
      <c r="A158" s="10" t="s">
        <v>469</v>
      </c>
      <c r="B158" s="13">
        <v>30</v>
      </c>
      <c r="C158" s="8">
        <v>243.75152549999999</v>
      </c>
    </row>
    <row r="159" spans="1:3" ht="28" x14ac:dyDescent="0.2">
      <c r="A159" s="21" t="s">
        <v>868</v>
      </c>
      <c r="B159" s="13">
        <v>30</v>
      </c>
      <c r="C159" s="8">
        <v>612.25</v>
      </c>
    </row>
    <row r="160" spans="1:3" ht="80" x14ac:dyDescent="0.2">
      <c r="A160" s="10" t="s">
        <v>453</v>
      </c>
      <c r="B160" s="13">
        <v>32</v>
      </c>
      <c r="C160" s="8">
        <v>7421.2751200000021</v>
      </c>
    </row>
    <row r="161" spans="1:3" ht="64" x14ac:dyDescent="0.2">
      <c r="A161" s="10" t="s">
        <v>454</v>
      </c>
      <c r="B161" s="13">
        <v>32</v>
      </c>
      <c r="C161" s="8">
        <v>11193.414960000002</v>
      </c>
    </row>
    <row r="162" spans="1:3" ht="80" x14ac:dyDescent="0.2">
      <c r="A162" s="10" t="s">
        <v>455</v>
      </c>
      <c r="B162" s="13">
        <v>32</v>
      </c>
      <c r="C162" s="8">
        <v>24108.893759999999</v>
      </c>
    </row>
    <row r="163" spans="1:3" ht="96" x14ac:dyDescent="0.2">
      <c r="A163" s="10" t="s">
        <v>456</v>
      </c>
      <c r="B163" s="13">
        <v>32</v>
      </c>
      <c r="C163" s="8">
        <v>72326.681280000004</v>
      </c>
    </row>
    <row r="164" spans="1:3" ht="48" x14ac:dyDescent="0.2">
      <c r="A164" s="10" t="s">
        <v>259</v>
      </c>
      <c r="B164" s="13">
        <v>34</v>
      </c>
      <c r="C164" s="8">
        <v>2247.5700000000002</v>
      </c>
    </row>
    <row r="165" spans="1:3" ht="32" x14ac:dyDescent="0.2">
      <c r="A165" s="10" t="s">
        <v>39</v>
      </c>
      <c r="B165" s="13">
        <v>34</v>
      </c>
      <c r="C165" s="8">
        <v>7234.5311999999985</v>
      </c>
    </row>
    <row r="166" spans="1:3" ht="176" x14ac:dyDescent="0.2">
      <c r="A166" s="10" t="s">
        <v>420</v>
      </c>
      <c r="B166" s="13">
        <v>34</v>
      </c>
      <c r="C166" s="8">
        <v>193.16707199999996</v>
      </c>
    </row>
    <row r="167" spans="1:3" ht="160" x14ac:dyDescent="0.2">
      <c r="A167" s="10" t="s">
        <v>421</v>
      </c>
      <c r="B167" s="13">
        <v>34</v>
      </c>
      <c r="C167" s="8">
        <v>22.085482300000002</v>
      </c>
    </row>
    <row r="168" spans="1:3" ht="176" x14ac:dyDescent="0.2">
      <c r="A168" s="10" t="s">
        <v>422</v>
      </c>
      <c r="B168" s="13">
        <v>34</v>
      </c>
      <c r="C168" s="8">
        <v>44.170964600000005</v>
      </c>
    </row>
    <row r="169" spans="1:3" ht="176" x14ac:dyDescent="0.2">
      <c r="A169" s="10" t="s">
        <v>423</v>
      </c>
      <c r="B169" s="13">
        <v>34</v>
      </c>
      <c r="C169" s="8">
        <v>205.0564488</v>
      </c>
    </row>
    <row r="170" spans="1:3" ht="176" x14ac:dyDescent="0.2">
      <c r="A170" s="10" t="s">
        <v>424</v>
      </c>
      <c r="B170" s="13">
        <v>34</v>
      </c>
      <c r="C170" s="8">
        <v>102.5282244</v>
      </c>
    </row>
    <row r="171" spans="1:3" ht="160" x14ac:dyDescent="0.2">
      <c r="A171" s="10" t="s">
        <v>425</v>
      </c>
      <c r="B171" s="13">
        <v>34</v>
      </c>
      <c r="C171" s="8">
        <v>39.012311799999999</v>
      </c>
    </row>
    <row r="172" spans="1:3" ht="176" x14ac:dyDescent="0.2">
      <c r="A172" s="10" t="s">
        <v>426</v>
      </c>
      <c r="B172" s="13">
        <v>34</v>
      </c>
      <c r="C172" s="8">
        <v>39.012311799999999</v>
      </c>
    </row>
    <row r="173" spans="1:3" ht="176" x14ac:dyDescent="0.2">
      <c r="A173" s="10" t="s">
        <v>427</v>
      </c>
      <c r="B173" s="13">
        <v>34</v>
      </c>
      <c r="C173" s="8">
        <v>39.012311799999999</v>
      </c>
    </row>
    <row r="174" spans="1:3" ht="176" x14ac:dyDescent="0.2">
      <c r="A174" s="10" t="s">
        <v>428</v>
      </c>
      <c r="B174" s="13">
        <v>34</v>
      </c>
      <c r="C174" s="8">
        <v>58.357259800000001</v>
      </c>
    </row>
    <row r="175" spans="1:3" ht="176" x14ac:dyDescent="0.2">
      <c r="A175" s="10" t="s">
        <v>429</v>
      </c>
      <c r="B175" s="13">
        <v>34</v>
      </c>
      <c r="C175" s="8">
        <v>174.78654731999995</v>
      </c>
    </row>
    <row r="176" spans="1:3" ht="176" x14ac:dyDescent="0.2">
      <c r="A176" s="10" t="s">
        <v>430</v>
      </c>
      <c r="B176" s="13">
        <v>34</v>
      </c>
      <c r="C176" s="8">
        <v>58.262182439999982</v>
      </c>
    </row>
    <row r="177" spans="1:3" ht="176" x14ac:dyDescent="0.2">
      <c r="A177" s="10" t="s">
        <v>431</v>
      </c>
      <c r="B177" s="13">
        <v>34</v>
      </c>
      <c r="C177" s="8">
        <v>56.627510799999996</v>
      </c>
    </row>
    <row r="178" spans="1:3" ht="176" x14ac:dyDescent="0.2">
      <c r="A178" s="10" t="s">
        <v>432</v>
      </c>
      <c r="B178" s="13">
        <v>34</v>
      </c>
      <c r="C178" s="8">
        <v>217.96249439999997</v>
      </c>
    </row>
    <row r="179" spans="1:3" ht="176" x14ac:dyDescent="0.2">
      <c r="A179" s="10" t="s">
        <v>433</v>
      </c>
      <c r="B179" s="13">
        <v>34</v>
      </c>
      <c r="C179" s="8">
        <v>72.654164800000004</v>
      </c>
    </row>
    <row r="180" spans="1:3" ht="176" x14ac:dyDescent="0.2">
      <c r="A180" s="10" t="s">
        <v>434</v>
      </c>
      <c r="B180" s="13">
        <v>34</v>
      </c>
      <c r="C180" s="8">
        <v>88.680818799999983</v>
      </c>
    </row>
    <row r="181" spans="1:3" ht="176" x14ac:dyDescent="0.2">
      <c r="A181" s="10" t="s">
        <v>435</v>
      </c>
      <c r="B181" s="13">
        <v>34</v>
      </c>
      <c r="C181" s="8">
        <v>40.237491839999997</v>
      </c>
    </row>
    <row r="182" spans="1:3" ht="176" x14ac:dyDescent="0.2">
      <c r="A182" s="10" t="s">
        <v>436</v>
      </c>
      <c r="B182" s="13">
        <v>34</v>
      </c>
      <c r="C182" s="8">
        <v>142.15289087999997</v>
      </c>
    </row>
    <row r="183" spans="1:3" ht="64" x14ac:dyDescent="0.2">
      <c r="A183" s="10" t="s">
        <v>437</v>
      </c>
      <c r="B183" s="13">
        <v>34</v>
      </c>
      <c r="C183" s="8">
        <v>639.68800895999993</v>
      </c>
    </row>
    <row r="184" spans="1:3" ht="64" x14ac:dyDescent="0.2">
      <c r="A184" s="10" t="s">
        <v>438</v>
      </c>
      <c r="B184" s="13">
        <v>34</v>
      </c>
      <c r="C184" s="8">
        <v>426.45867263999992</v>
      </c>
    </row>
    <row r="185" spans="1:3" ht="80" x14ac:dyDescent="0.2">
      <c r="A185" s="10" t="s">
        <v>439</v>
      </c>
      <c r="B185" s="13">
        <v>34</v>
      </c>
      <c r="C185" s="8">
        <v>568.61156351999989</v>
      </c>
    </row>
    <row r="186" spans="1:3" ht="48" x14ac:dyDescent="0.2">
      <c r="A186" s="10" t="s">
        <v>440</v>
      </c>
      <c r="B186" s="13">
        <v>34</v>
      </c>
      <c r="C186" s="8">
        <v>71.076445439999986</v>
      </c>
    </row>
    <row r="187" spans="1:3" ht="64" x14ac:dyDescent="0.2">
      <c r="A187" s="10" t="s">
        <v>441</v>
      </c>
      <c r="B187" s="13">
        <v>34</v>
      </c>
      <c r="C187" s="8">
        <v>154.91020159999999</v>
      </c>
    </row>
    <row r="188" spans="1:3" ht="48" x14ac:dyDescent="0.2">
      <c r="A188" s="10" t="s">
        <v>442</v>
      </c>
      <c r="B188" s="13">
        <v>34</v>
      </c>
      <c r="C188" s="8">
        <v>77.455100799999997</v>
      </c>
    </row>
    <row r="189" spans="1:3" ht="64" x14ac:dyDescent="0.2">
      <c r="A189" s="10" t="s">
        <v>443</v>
      </c>
      <c r="B189" s="13">
        <v>34</v>
      </c>
      <c r="C189" s="8">
        <v>96.704971439999966</v>
      </c>
    </row>
    <row r="190" spans="1:3" ht="64" x14ac:dyDescent="0.2">
      <c r="A190" s="10" t="s">
        <v>444</v>
      </c>
      <c r="B190" s="13">
        <v>34</v>
      </c>
      <c r="C190" s="8">
        <v>96.704971439999966</v>
      </c>
    </row>
    <row r="191" spans="1:3" ht="48" x14ac:dyDescent="0.2">
      <c r="A191" s="10" t="s">
        <v>445</v>
      </c>
      <c r="B191" s="13">
        <v>34</v>
      </c>
      <c r="C191" s="8">
        <v>103.08362679999999</v>
      </c>
    </row>
    <row r="192" spans="1:3" ht="48" x14ac:dyDescent="0.2">
      <c r="A192" s="10" t="s">
        <v>446</v>
      </c>
      <c r="B192" s="13">
        <v>34</v>
      </c>
      <c r="C192" s="8">
        <v>103.08362679999999</v>
      </c>
    </row>
    <row r="193" spans="1:3" ht="64" x14ac:dyDescent="0.2">
      <c r="A193" s="10" t="s">
        <v>447</v>
      </c>
      <c r="B193" s="13">
        <v>34</v>
      </c>
      <c r="C193" s="8">
        <v>309.25088039999991</v>
      </c>
    </row>
    <row r="194" spans="1:3" ht="48" x14ac:dyDescent="0.2">
      <c r="A194" s="10" t="s">
        <v>448</v>
      </c>
      <c r="B194" s="13">
        <v>34</v>
      </c>
      <c r="C194" s="8">
        <v>10308.362679999998</v>
      </c>
    </row>
    <row r="195" spans="1:3" ht="48" x14ac:dyDescent="0.2">
      <c r="A195" s="10" t="s">
        <v>709</v>
      </c>
      <c r="B195" s="13">
        <v>34</v>
      </c>
      <c r="C195" s="8">
        <v>369100.79999999999</v>
      </c>
    </row>
    <row r="196" spans="1:3" ht="48" x14ac:dyDescent="0.2">
      <c r="A196" s="10" t="s">
        <v>709</v>
      </c>
      <c r="B196" s="13">
        <v>34</v>
      </c>
      <c r="C196" s="8">
        <v>39168</v>
      </c>
    </row>
    <row r="197" spans="1:3" ht="64" x14ac:dyDescent="0.2">
      <c r="A197" s="10" t="s">
        <v>712</v>
      </c>
      <c r="B197" s="13">
        <v>34</v>
      </c>
      <c r="C197" s="8">
        <v>8064.0000000000009</v>
      </c>
    </row>
    <row r="198" spans="1:3" ht="64" x14ac:dyDescent="0.2">
      <c r="A198" s="10" t="s">
        <v>713</v>
      </c>
      <c r="B198" s="13">
        <v>34</v>
      </c>
      <c r="C198" s="8">
        <v>26208</v>
      </c>
    </row>
    <row r="199" spans="1:3" ht="64" x14ac:dyDescent="0.2">
      <c r="A199" s="10" t="s">
        <v>714</v>
      </c>
      <c r="B199" s="13">
        <v>34</v>
      </c>
      <c r="C199" s="8">
        <v>18432</v>
      </c>
    </row>
    <row r="200" spans="1:3" ht="32" x14ac:dyDescent="0.2">
      <c r="A200" s="10" t="s">
        <v>449</v>
      </c>
      <c r="B200" s="13">
        <v>35</v>
      </c>
      <c r="C200" s="8">
        <v>76.108956000000006</v>
      </c>
    </row>
    <row r="201" spans="1:3" ht="32" x14ac:dyDescent="0.2">
      <c r="A201" s="10" t="s">
        <v>450</v>
      </c>
      <c r="B201" s="13">
        <v>35</v>
      </c>
      <c r="C201" s="8">
        <v>260.57221343999998</v>
      </c>
    </row>
    <row r="202" spans="1:3" ht="48" x14ac:dyDescent="0.2">
      <c r="A202" s="10" t="s">
        <v>451</v>
      </c>
      <c r="B202" s="13">
        <v>35</v>
      </c>
      <c r="C202" s="8">
        <v>21.065801147999998</v>
      </c>
    </row>
    <row r="203" spans="1:3" ht="32" x14ac:dyDescent="0.2">
      <c r="A203" s="10" t="s">
        <v>452</v>
      </c>
      <c r="B203" s="13">
        <v>35</v>
      </c>
      <c r="C203" s="8">
        <v>139.22714399999998</v>
      </c>
    </row>
    <row r="204" spans="1:3" ht="32" x14ac:dyDescent="0.2">
      <c r="A204" s="10" t="s">
        <v>701</v>
      </c>
      <c r="B204" s="13">
        <v>35</v>
      </c>
      <c r="C204" s="8">
        <v>10350</v>
      </c>
    </row>
    <row r="205" spans="1:3" ht="32" x14ac:dyDescent="0.2">
      <c r="A205" s="10" t="s">
        <v>258</v>
      </c>
      <c r="B205" s="13">
        <v>36</v>
      </c>
      <c r="C205" s="8">
        <v>5972.4</v>
      </c>
    </row>
    <row r="206" spans="1:3" ht="64" x14ac:dyDescent="0.2">
      <c r="A206" s="10" t="s">
        <v>329</v>
      </c>
      <c r="B206" s="13">
        <v>36</v>
      </c>
      <c r="C206" s="8">
        <v>447.67799999999988</v>
      </c>
    </row>
    <row r="207" spans="1:3" ht="16" x14ac:dyDescent="0.2">
      <c r="A207" s="10" t="s">
        <v>584</v>
      </c>
      <c r="B207" s="13">
        <v>36</v>
      </c>
      <c r="C207" s="8">
        <v>12199.999679999999</v>
      </c>
    </row>
    <row r="208" spans="1:3" ht="32" x14ac:dyDescent="0.2">
      <c r="A208" s="10" t="s">
        <v>245</v>
      </c>
      <c r="B208" s="13">
        <v>37</v>
      </c>
      <c r="C208" s="8">
        <v>699.30000000000007</v>
      </c>
    </row>
    <row r="209" spans="1:3" ht="32" x14ac:dyDescent="0.2">
      <c r="A209" s="10" t="s">
        <v>246</v>
      </c>
      <c r="B209" s="13">
        <v>37</v>
      </c>
      <c r="C209" s="8">
        <v>4265.7300000000005</v>
      </c>
    </row>
    <row r="210" spans="1:3" ht="48" x14ac:dyDescent="0.2">
      <c r="A210" s="10" t="s">
        <v>247</v>
      </c>
      <c r="B210" s="13">
        <v>37</v>
      </c>
      <c r="C210" s="8">
        <v>233.10000000000005</v>
      </c>
    </row>
    <row r="211" spans="1:3" ht="32" x14ac:dyDescent="0.2">
      <c r="A211" s="10" t="s">
        <v>248</v>
      </c>
      <c r="B211" s="13">
        <v>37</v>
      </c>
      <c r="C211" s="8">
        <v>6689.9700000000012</v>
      </c>
    </row>
    <row r="212" spans="1:3" ht="32" x14ac:dyDescent="0.2">
      <c r="A212" s="10" t="s">
        <v>249</v>
      </c>
      <c r="B212" s="13">
        <v>37</v>
      </c>
      <c r="C212" s="8">
        <v>1398.6000000000001</v>
      </c>
    </row>
    <row r="213" spans="1:3" ht="32" x14ac:dyDescent="0.2">
      <c r="A213" s="10" t="s">
        <v>250</v>
      </c>
      <c r="B213" s="13">
        <v>37</v>
      </c>
      <c r="C213" s="8">
        <v>14393.925000000003</v>
      </c>
    </row>
    <row r="214" spans="1:3" ht="48" x14ac:dyDescent="0.2">
      <c r="A214" s="10" t="s">
        <v>251</v>
      </c>
      <c r="B214" s="13">
        <v>37</v>
      </c>
      <c r="C214" s="8">
        <v>4405.5900000000011</v>
      </c>
    </row>
    <row r="215" spans="1:3" ht="96" x14ac:dyDescent="0.2">
      <c r="A215" s="10" t="s">
        <v>381</v>
      </c>
      <c r="B215" s="13">
        <v>38</v>
      </c>
      <c r="C215" s="8">
        <v>946.4</v>
      </c>
    </row>
    <row r="216" spans="1:3" ht="64" x14ac:dyDescent="0.2">
      <c r="A216" s="10" t="s">
        <v>382</v>
      </c>
      <c r="B216" s="13">
        <v>38</v>
      </c>
      <c r="C216" s="8">
        <v>227.136</v>
      </c>
    </row>
    <row r="217" spans="1:3" ht="48" x14ac:dyDescent="0.2">
      <c r="A217" s="10" t="s">
        <v>551</v>
      </c>
      <c r="B217" s="13">
        <v>38</v>
      </c>
      <c r="C217" s="8">
        <v>18806.580000000002</v>
      </c>
    </row>
    <row r="218" spans="1:3" ht="48" x14ac:dyDescent="0.2">
      <c r="A218" s="10" t="s">
        <v>552</v>
      </c>
      <c r="B218" s="13">
        <v>38</v>
      </c>
      <c r="C218" s="8">
        <v>992.65499999999997</v>
      </c>
    </row>
    <row r="219" spans="1:3" ht="32" x14ac:dyDescent="0.2">
      <c r="A219" s="10" t="s">
        <v>612</v>
      </c>
      <c r="B219" s="13">
        <v>38</v>
      </c>
      <c r="C219" s="8">
        <v>333.45</v>
      </c>
    </row>
    <row r="220" spans="1:3" ht="32" x14ac:dyDescent="0.2">
      <c r="A220" s="10" t="s">
        <v>613</v>
      </c>
      <c r="B220" s="13">
        <v>38</v>
      </c>
      <c r="C220" s="8">
        <v>333.45</v>
      </c>
    </row>
    <row r="221" spans="1:3" ht="64" x14ac:dyDescent="0.2">
      <c r="A221" s="10" t="s">
        <v>457</v>
      </c>
      <c r="B221" s="13">
        <v>39</v>
      </c>
      <c r="C221" s="8">
        <v>284.51583930000004</v>
      </c>
    </row>
    <row r="222" spans="1:3" ht="80" x14ac:dyDescent="0.2">
      <c r="A222" s="10" t="s">
        <v>458</v>
      </c>
      <c r="B222" s="13">
        <v>39</v>
      </c>
      <c r="C222" s="8">
        <v>284.51583930000004</v>
      </c>
    </row>
    <row r="223" spans="1:3" ht="64" x14ac:dyDescent="0.2">
      <c r="A223" s="10" t="s">
        <v>459</v>
      </c>
      <c r="B223" s="13">
        <v>39</v>
      </c>
      <c r="C223" s="8">
        <v>284.51583930000004</v>
      </c>
    </row>
    <row r="224" spans="1:3" ht="64" x14ac:dyDescent="0.2">
      <c r="A224" s="10" t="s">
        <v>460</v>
      </c>
      <c r="B224" s="13">
        <v>39</v>
      </c>
      <c r="C224" s="8">
        <v>284.51583930000004</v>
      </c>
    </row>
    <row r="225" spans="1:3" ht="80" x14ac:dyDescent="0.2">
      <c r="A225" s="10" t="s">
        <v>461</v>
      </c>
      <c r="B225" s="13">
        <v>39</v>
      </c>
      <c r="C225" s="8">
        <v>284.51583930000004</v>
      </c>
    </row>
    <row r="226" spans="1:3" ht="80" x14ac:dyDescent="0.2">
      <c r="A226" s="10" t="s">
        <v>462</v>
      </c>
      <c r="B226" s="13">
        <v>39</v>
      </c>
      <c r="C226" s="8">
        <v>1422.5791965000001</v>
      </c>
    </row>
    <row r="227" spans="1:3" ht="48" x14ac:dyDescent="0.2">
      <c r="A227" s="10" t="s">
        <v>463</v>
      </c>
      <c r="B227" s="13">
        <v>39</v>
      </c>
      <c r="C227" s="8">
        <v>284.51583930000004</v>
      </c>
    </row>
    <row r="228" spans="1:3" ht="48" x14ac:dyDescent="0.2">
      <c r="A228" s="10" t="s">
        <v>487</v>
      </c>
      <c r="B228" s="13">
        <v>39</v>
      </c>
      <c r="C228" s="8">
        <v>812.25000000000011</v>
      </c>
    </row>
    <row r="229" spans="1:3" ht="48" x14ac:dyDescent="0.2">
      <c r="A229" s="10" t="s">
        <v>545</v>
      </c>
      <c r="B229" s="13">
        <v>39</v>
      </c>
      <c r="C229" s="8">
        <v>35354.25</v>
      </c>
    </row>
    <row r="230" spans="1:3" ht="48" x14ac:dyDescent="0.2">
      <c r="A230" s="10" t="s">
        <v>546</v>
      </c>
      <c r="B230" s="13">
        <v>39</v>
      </c>
      <c r="C230" s="8">
        <v>2282.85</v>
      </c>
    </row>
    <row r="231" spans="1:3" ht="32" x14ac:dyDescent="0.2">
      <c r="A231" s="10" t="s">
        <v>597</v>
      </c>
      <c r="B231" s="13">
        <v>40</v>
      </c>
      <c r="C231" s="8">
        <v>7515.4499999999989</v>
      </c>
    </row>
    <row r="232" spans="1:3" ht="32" x14ac:dyDescent="0.2">
      <c r="A232" s="10" t="s">
        <v>598</v>
      </c>
      <c r="B232" s="13">
        <v>40</v>
      </c>
      <c r="C232" s="8">
        <v>333.45</v>
      </c>
    </row>
    <row r="233" spans="1:3" ht="32" x14ac:dyDescent="0.2">
      <c r="A233" s="10" t="s">
        <v>603</v>
      </c>
      <c r="B233" s="13">
        <v>40</v>
      </c>
      <c r="C233" s="8">
        <v>7002.45</v>
      </c>
    </row>
    <row r="234" spans="1:3" ht="32" x14ac:dyDescent="0.2">
      <c r="A234" s="10" t="s">
        <v>604</v>
      </c>
      <c r="B234" s="13">
        <v>40</v>
      </c>
      <c r="C234" s="8">
        <v>4796.5499999999993</v>
      </c>
    </row>
    <row r="235" spans="1:3" ht="80" x14ac:dyDescent="0.2">
      <c r="A235" s="10" t="s">
        <v>494</v>
      </c>
      <c r="B235" s="13">
        <v>41</v>
      </c>
      <c r="C235" s="8">
        <v>1094.0744059000001</v>
      </c>
    </row>
    <row r="236" spans="1:3" ht="64" x14ac:dyDescent="0.2">
      <c r="A236" s="10" t="s">
        <v>495</v>
      </c>
      <c r="B236" s="13">
        <v>41</v>
      </c>
      <c r="C236" s="8">
        <v>163.45837186000003</v>
      </c>
    </row>
    <row r="237" spans="1:3" ht="64" x14ac:dyDescent="0.2">
      <c r="A237" s="10" t="s">
        <v>496</v>
      </c>
      <c r="B237" s="13">
        <v>41</v>
      </c>
      <c r="C237" s="8">
        <v>232.23603900000003</v>
      </c>
    </row>
    <row r="238" spans="1:3" ht="80" x14ac:dyDescent="0.2">
      <c r="A238" s="10" t="s">
        <v>497</v>
      </c>
      <c r="B238" s="13">
        <v>41</v>
      </c>
      <c r="C238" s="8">
        <v>1094.0744059000001</v>
      </c>
    </row>
    <row r="239" spans="1:3" ht="80" x14ac:dyDescent="0.2">
      <c r="A239" s="10" t="s">
        <v>498</v>
      </c>
      <c r="B239" s="13">
        <v>41</v>
      </c>
      <c r="C239" s="8">
        <v>537.37592538000013</v>
      </c>
    </row>
    <row r="240" spans="1:3" ht="96" x14ac:dyDescent="0.2">
      <c r="A240" s="10" t="s">
        <v>499</v>
      </c>
      <c r="B240" s="13">
        <v>41</v>
      </c>
      <c r="C240" s="8">
        <v>1750.5190494400001</v>
      </c>
    </row>
    <row r="241" spans="1:3" ht="80" x14ac:dyDescent="0.2">
      <c r="A241" s="10" t="s">
        <v>500</v>
      </c>
      <c r="B241" s="13">
        <v>41</v>
      </c>
      <c r="C241" s="8">
        <v>189.56993286000002</v>
      </c>
    </row>
    <row r="242" spans="1:3" ht="80" x14ac:dyDescent="0.2">
      <c r="A242" s="10" t="s">
        <v>501</v>
      </c>
      <c r="B242" s="13">
        <v>41</v>
      </c>
      <c r="C242" s="8">
        <v>554.60955564000017</v>
      </c>
    </row>
    <row r="243" spans="1:3" ht="80" x14ac:dyDescent="0.2">
      <c r="A243" s="10" t="s">
        <v>502</v>
      </c>
      <c r="B243" s="13">
        <v>41</v>
      </c>
      <c r="C243" s="8">
        <v>1094.0744059000001</v>
      </c>
    </row>
    <row r="244" spans="1:3" ht="64" x14ac:dyDescent="0.2">
      <c r="A244" s="10" t="s">
        <v>503</v>
      </c>
      <c r="B244" s="13">
        <v>41</v>
      </c>
      <c r="C244" s="8">
        <v>163.45837186000003</v>
      </c>
    </row>
    <row r="245" spans="1:3" ht="64" x14ac:dyDescent="0.2">
      <c r="A245" s="10" t="s">
        <v>504</v>
      </c>
      <c r="B245" s="13">
        <v>41</v>
      </c>
      <c r="C245" s="8">
        <v>198.97009482000004</v>
      </c>
    </row>
    <row r="246" spans="1:3" ht="64" x14ac:dyDescent="0.2">
      <c r="A246" s="10" t="s">
        <v>505</v>
      </c>
      <c r="B246" s="13">
        <v>41</v>
      </c>
      <c r="C246" s="8">
        <v>558.78740540000013</v>
      </c>
    </row>
    <row r="247" spans="1:3" ht="80" x14ac:dyDescent="0.2">
      <c r="A247" s="10" t="s">
        <v>506</v>
      </c>
      <c r="B247" s="13">
        <v>41</v>
      </c>
      <c r="C247" s="8">
        <v>437.62976236000003</v>
      </c>
    </row>
    <row r="248" spans="1:3" ht="80" x14ac:dyDescent="0.2">
      <c r="A248" s="10" t="s">
        <v>507</v>
      </c>
      <c r="B248" s="13">
        <v>41</v>
      </c>
      <c r="C248" s="8">
        <v>437.62976236000003</v>
      </c>
    </row>
    <row r="249" spans="1:3" ht="96" x14ac:dyDescent="0.2">
      <c r="A249" s="10" t="s">
        <v>508</v>
      </c>
      <c r="B249" s="13">
        <v>41</v>
      </c>
      <c r="C249" s="8">
        <v>875.25952472000006</v>
      </c>
    </row>
    <row r="250" spans="1:3" ht="64" x14ac:dyDescent="0.2">
      <c r="A250" s="10" t="s">
        <v>509</v>
      </c>
      <c r="B250" s="13">
        <v>41</v>
      </c>
      <c r="C250" s="8">
        <v>218.81488118000001</v>
      </c>
    </row>
    <row r="251" spans="1:3" ht="96" x14ac:dyDescent="0.2">
      <c r="A251" s="10" t="s">
        <v>510</v>
      </c>
      <c r="B251" s="13">
        <v>41</v>
      </c>
      <c r="C251" s="8">
        <v>2188.1488118000002</v>
      </c>
    </row>
    <row r="252" spans="1:3" ht="96" x14ac:dyDescent="0.2">
      <c r="A252" s="10" t="s">
        <v>511</v>
      </c>
      <c r="B252" s="13">
        <v>41</v>
      </c>
      <c r="C252" s="8">
        <v>2406.9636929799999</v>
      </c>
    </row>
    <row r="253" spans="1:3" ht="80" x14ac:dyDescent="0.2">
      <c r="A253" s="10" t="s">
        <v>512</v>
      </c>
      <c r="B253" s="13">
        <v>41</v>
      </c>
      <c r="C253" s="8">
        <v>198.97009482000004</v>
      </c>
    </row>
    <row r="254" spans="1:3" ht="112" x14ac:dyDescent="0.2">
      <c r="A254" s="10" t="s">
        <v>513</v>
      </c>
      <c r="B254" s="13">
        <v>41</v>
      </c>
      <c r="C254" s="8">
        <v>2844.5934553400002</v>
      </c>
    </row>
    <row r="255" spans="1:3" ht="96" x14ac:dyDescent="0.2">
      <c r="A255" s="10" t="s">
        <v>514</v>
      </c>
      <c r="B255" s="13">
        <v>41</v>
      </c>
      <c r="C255" s="8">
        <v>358.18919346000007</v>
      </c>
    </row>
    <row r="256" spans="1:3" ht="96" x14ac:dyDescent="0.2">
      <c r="A256" s="10" t="s">
        <v>515</v>
      </c>
      <c r="B256" s="13">
        <v>41</v>
      </c>
      <c r="C256" s="8">
        <v>554609.55564000015</v>
      </c>
    </row>
    <row r="257" spans="1:3" ht="64" x14ac:dyDescent="0.2">
      <c r="A257" s="10" t="s">
        <v>516</v>
      </c>
      <c r="B257" s="13">
        <v>41</v>
      </c>
      <c r="C257" s="8">
        <v>218.81488118000001</v>
      </c>
    </row>
    <row r="258" spans="1:3" ht="64" x14ac:dyDescent="0.2">
      <c r="A258" s="10" t="s">
        <v>517</v>
      </c>
      <c r="B258" s="13">
        <v>41</v>
      </c>
      <c r="C258" s="8">
        <v>218.81488118000001</v>
      </c>
    </row>
    <row r="259" spans="1:3" ht="64" x14ac:dyDescent="0.2">
      <c r="A259" s="10" t="s">
        <v>518</v>
      </c>
      <c r="B259" s="13">
        <v>41</v>
      </c>
      <c r="C259" s="8">
        <v>189.56993286000002</v>
      </c>
    </row>
    <row r="260" spans="1:3" ht="64" x14ac:dyDescent="0.2">
      <c r="A260" s="10" t="s">
        <v>519</v>
      </c>
      <c r="B260" s="13">
        <v>41</v>
      </c>
      <c r="C260" s="8">
        <v>219.07599679000003</v>
      </c>
    </row>
    <row r="261" spans="1:3" ht="64" x14ac:dyDescent="0.2">
      <c r="A261" s="10" t="s">
        <v>520</v>
      </c>
      <c r="B261" s="13">
        <v>41</v>
      </c>
      <c r="C261" s="8">
        <v>198.97009482000004</v>
      </c>
    </row>
    <row r="262" spans="1:3" ht="80" x14ac:dyDescent="0.2">
      <c r="A262" s="10" t="s">
        <v>521</v>
      </c>
      <c r="B262" s="13">
        <v>41</v>
      </c>
      <c r="C262" s="8">
        <v>883.07559409999999</v>
      </c>
    </row>
    <row r="263" spans="1:3" ht="48" x14ac:dyDescent="0.2">
      <c r="A263" s="10" t="s">
        <v>47</v>
      </c>
      <c r="B263" s="13">
        <v>41</v>
      </c>
      <c r="C263" s="8">
        <v>490.717332</v>
      </c>
    </row>
    <row r="264" spans="1:3" ht="48" x14ac:dyDescent="0.2">
      <c r="A264" s="10" t="s">
        <v>48</v>
      </c>
      <c r="B264" s="13">
        <v>41</v>
      </c>
      <c r="C264" s="8">
        <v>772.78319999999985</v>
      </c>
    </row>
    <row r="265" spans="1:3" ht="48" x14ac:dyDescent="0.2">
      <c r="A265" s="10" t="s">
        <v>49</v>
      </c>
      <c r="B265" s="13">
        <v>41</v>
      </c>
      <c r="C265" s="8">
        <v>1306.754925</v>
      </c>
    </row>
    <row r="266" spans="1:3" ht="48" x14ac:dyDescent="0.2">
      <c r="A266" s="10" t="s">
        <v>50</v>
      </c>
      <c r="B266" s="13">
        <v>41</v>
      </c>
      <c r="C266" s="8">
        <v>826.47129599999994</v>
      </c>
    </row>
    <row r="267" spans="1:3" ht="32" x14ac:dyDescent="0.2">
      <c r="A267" s="10" t="s">
        <v>51</v>
      </c>
      <c r="B267" s="13">
        <v>41</v>
      </c>
      <c r="C267" s="8">
        <v>417.53171250000003</v>
      </c>
    </row>
    <row r="268" spans="1:3" ht="48" x14ac:dyDescent="0.2">
      <c r="A268" s="10" t="s">
        <v>547</v>
      </c>
      <c r="B268" s="13">
        <v>42</v>
      </c>
      <c r="C268" s="8">
        <v>9919</v>
      </c>
    </row>
    <row r="269" spans="1:3" ht="48" x14ac:dyDescent="0.2">
      <c r="A269" s="10" t="s">
        <v>548</v>
      </c>
      <c r="B269" s="13">
        <v>42</v>
      </c>
      <c r="C269" s="8">
        <v>900.9</v>
      </c>
    </row>
    <row r="270" spans="1:3" ht="32" x14ac:dyDescent="0.2">
      <c r="A270" s="10" t="s">
        <v>646</v>
      </c>
      <c r="B270" s="13">
        <v>46</v>
      </c>
      <c r="C270" s="8">
        <v>10402.56</v>
      </c>
    </row>
    <row r="271" spans="1:3" ht="48" x14ac:dyDescent="0.2">
      <c r="A271" s="10" t="s">
        <v>529</v>
      </c>
      <c r="B271" s="13">
        <v>48</v>
      </c>
      <c r="C271" s="8">
        <v>1056.3630000000001</v>
      </c>
    </row>
    <row r="272" spans="1:3" ht="48" x14ac:dyDescent="0.2">
      <c r="A272" s="10" t="s">
        <v>530</v>
      </c>
      <c r="B272" s="13">
        <v>48</v>
      </c>
      <c r="C272" s="8">
        <v>1293.6210000000001</v>
      </c>
    </row>
    <row r="273" spans="1:3" ht="48" x14ac:dyDescent="0.2">
      <c r="A273" s="10" t="s">
        <v>531</v>
      </c>
      <c r="B273" s="13">
        <v>48</v>
      </c>
      <c r="C273" s="8">
        <v>1971.501</v>
      </c>
    </row>
    <row r="274" spans="1:3" ht="48" x14ac:dyDescent="0.2">
      <c r="A274" s="10" t="s">
        <v>532</v>
      </c>
      <c r="B274" s="13">
        <v>48</v>
      </c>
      <c r="C274" s="8">
        <v>598.79399999999998</v>
      </c>
    </row>
    <row r="275" spans="1:3" ht="48" x14ac:dyDescent="0.2">
      <c r="A275" s="10" t="s">
        <v>558</v>
      </c>
      <c r="B275" s="13">
        <v>48</v>
      </c>
      <c r="C275" s="8">
        <v>1988.4480000000001</v>
      </c>
    </row>
    <row r="276" spans="1:3" ht="32" x14ac:dyDescent="0.2">
      <c r="A276" s="10" t="s">
        <v>559</v>
      </c>
      <c r="B276" s="13">
        <v>48</v>
      </c>
      <c r="C276" s="8">
        <v>156994.53000000003</v>
      </c>
    </row>
    <row r="277" spans="1:3" ht="48" x14ac:dyDescent="0.2">
      <c r="A277" s="10" t="s">
        <v>560</v>
      </c>
      <c r="B277" s="13">
        <v>48</v>
      </c>
      <c r="C277" s="8">
        <v>3128.1600000000003</v>
      </c>
    </row>
    <row r="278" spans="1:3" ht="32" x14ac:dyDescent="0.2">
      <c r="A278" s="10" t="s">
        <v>561</v>
      </c>
      <c r="B278" s="13">
        <v>48</v>
      </c>
      <c r="C278" s="8">
        <v>586.53000000000009</v>
      </c>
    </row>
    <row r="279" spans="1:3" ht="32" x14ac:dyDescent="0.2">
      <c r="A279" s="10" t="s">
        <v>579</v>
      </c>
      <c r="B279" s="13">
        <v>48</v>
      </c>
      <c r="C279" s="8">
        <v>2642.85</v>
      </c>
    </row>
    <row r="280" spans="1:3" ht="48" x14ac:dyDescent="0.2">
      <c r="A280" s="10" t="s">
        <v>580</v>
      </c>
      <c r="B280" s="13">
        <v>48</v>
      </c>
      <c r="C280" s="8">
        <v>324.45</v>
      </c>
    </row>
    <row r="281" spans="1:3" ht="32" x14ac:dyDescent="0.2">
      <c r="A281" s="10" t="s">
        <v>755</v>
      </c>
      <c r="B281" s="13">
        <v>50</v>
      </c>
      <c r="C281" s="8">
        <v>1309.1444999999999</v>
      </c>
    </row>
    <row r="282" spans="1:3" ht="32" x14ac:dyDescent="0.2">
      <c r="A282" s="10" t="s">
        <v>756</v>
      </c>
      <c r="B282" s="13">
        <v>50</v>
      </c>
      <c r="C282" s="8">
        <v>3141.9468000000002</v>
      </c>
    </row>
    <row r="283" spans="1:3" ht="32" x14ac:dyDescent="0.2">
      <c r="A283" s="10" t="s">
        <v>757</v>
      </c>
      <c r="B283" s="13">
        <v>50</v>
      </c>
      <c r="C283" s="8">
        <v>3665.6046000000006</v>
      </c>
    </row>
    <row r="284" spans="1:3" ht="32" x14ac:dyDescent="0.2">
      <c r="A284" s="10" t="s">
        <v>758</v>
      </c>
      <c r="B284" s="13">
        <v>50</v>
      </c>
      <c r="C284" s="8">
        <v>2094.6312000000003</v>
      </c>
    </row>
    <row r="285" spans="1:3" ht="64" x14ac:dyDescent="0.2">
      <c r="A285" s="10" t="s">
        <v>237</v>
      </c>
      <c r="B285" s="13">
        <v>51</v>
      </c>
      <c r="C285" s="8">
        <v>1305720</v>
      </c>
    </row>
    <row r="286" spans="1:3" ht="48" x14ac:dyDescent="0.2">
      <c r="A286" s="10" t="s">
        <v>414</v>
      </c>
      <c r="B286" s="13">
        <v>52</v>
      </c>
      <c r="C286" s="8">
        <v>27914.040000000005</v>
      </c>
    </row>
    <row r="287" spans="1:3" ht="48" x14ac:dyDescent="0.2">
      <c r="A287" s="10" t="s">
        <v>415</v>
      </c>
      <c r="B287" s="13">
        <v>52</v>
      </c>
      <c r="C287" s="8">
        <v>2966.9639999999999</v>
      </c>
    </row>
    <row r="288" spans="1:3" ht="48" x14ac:dyDescent="0.2">
      <c r="A288" s="10" t="s">
        <v>416</v>
      </c>
      <c r="B288" s="13">
        <v>52</v>
      </c>
      <c r="C288" s="8">
        <v>2340.8000000000002</v>
      </c>
    </row>
    <row r="289" spans="1:3" ht="64" x14ac:dyDescent="0.2">
      <c r="A289" s="10" t="s">
        <v>417</v>
      </c>
      <c r="B289" s="13">
        <v>52</v>
      </c>
      <c r="C289" s="8">
        <v>228.22800000000001</v>
      </c>
    </row>
    <row r="290" spans="1:3" ht="32" x14ac:dyDescent="0.2">
      <c r="A290" s="10" t="s">
        <v>736</v>
      </c>
      <c r="B290" s="13">
        <v>53</v>
      </c>
      <c r="C290" s="8">
        <v>286.08163200000001</v>
      </c>
    </row>
    <row r="291" spans="1:3" ht="16" x14ac:dyDescent="0.2">
      <c r="A291" s="10" t="s">
        <v>750</v>
      </c>
      <c r="B291" s="13">
        <v>53</v>
      </c>
      <c r="C291" s="8">
        <v>581.57384400000001</v>
      </c>
    </row>
    <row r="292" spans="1:3" ht="16" x14ac:dyDescent="0.2">
      <c r="A292" s="10" t="s">
        <v>762</v>
      </c>
      <c r="B292" s="13">
        <v>53</v>
      </c>
      <c r="C292" s="8">
        <v>155.588256</v>
      </c>
    </row>
    <row r="293" spans="1:3" ht="32" x14ac:dyDescent="0.2">
      <c r="A293" s="10" t="s">
        <v>788</v>
      </c>
      <c r="B293" s="13">
        <v>53</v>
      </c>
      <c r="C293" s="8">
        <v>506.91657600000013</v>
      </c>
    </row>
    <row r="294" spans="1:3" ht="32" x14ac:dyDescent="0.2">
      <c r="A294" s="10" t="s">
        <v>789</v>
      </c>
      <c r="B294" s="13">
        <v>53</v>
      </c>
      <c r="C294" s="8">
        <v>440.41514400000011</v>
      </c>
    </row>
    <row r="295" spans="1:3" ht="32" x14ac:dyDescent="0.2">
      <c r="A295" s="10" t="s">
        <v>790</v>
      </c>
      <c r="B295" s="13">
        <v>53</v>
      </c>
      <c r="C295" s="8">
        <v>502.5249720000001</v>
      </c>
    </row>
    <row r="296" spans="1:3" ht="32" x14ac:dyDescent="0.2">
      <c r="A296" s="10" t="s">
        <v>791</v>
      </c>
      <c r="B296" s="13">
        <v>53</v>
      </c>
      <c r="C296" s="8">
        <v>120.45542399999999</v>
      </c>
    </row>
    <row r="297" spans="1:3" ht="48" x14ac:dyDescent="0.2">
      <c r="A297" s="10" t="s">
        <v>371</v>
      </c>
      <c r="B297" s="13">
        <v>56</v>
      </c>
      <c r="C297" s="8">
        <v>1144.6875</v>
      </c>
    </row>
    <row r="298" spans="1:3" ht="48" x14ac:dyDescent="0.2">
      <c r="A298" s="10" t="s">
        <v>372</v>
      </c>
      <c r="B298" s="13">
        <v>56</v>
      </c>
      <c r="C298" s="8">
        <v>661.375</v>
      </c>
    </row>
    <row r="299" spans="1:3" ht="48" x14ac:dyDescent="0.2">
      <c r="A299" s="10" t="s">
        <v>373</v>
      </c>
      <c r="B299" s="13">
        <v>56</v>
      </c>
      <c r="C299" s="8">
        <v>1648.35</v>
      </c>
    </row>
    <row r="300" spans="1:3" ht="48" x14ac:dyDescent="0.2">
      <c r="A300" s="10" t="s">
        <v>374</v>
      </c>
      <c r="B300" s="13">
        <v>56</v>
      </c>
      <c r="C300" s="8">
        <v>9768.0000000000018</v>
      </c>
    </row>
    <row r="301" spans="1:3" ht="64" x14ac:dyDescent="0.2">
      <c r="A301" s="10" t="s">
        <v>375</v>
      </c>
      <c r="B301" s="13">
        <v>56</v>
      </c>
      <c r="C301" s="8">
        <v>2442</v>
      </c>
    </row>
    <row r="302" spans="1:3" ht="80" x14ac:dyDescent="0.2">
      <c r="A302" s="10" t="s">
        <v>376</v>
      </c>
      <c r="B302" s="13">
        <v>56</v>
      </c>
      <c r="C302" s="8">
        <v>366.30000000000007</v>
      </c>
    </row>
    <row r="303" spans="1:3" ht="48" x14ac:dyDescent="0.2">
      <c r="A303" s="10" t="s">
        <v>377</v>
      </c>
      <c r="B303" s="13">
        <v>56</v>
      </c>
      <c r="C303" s="8">
        <v>1485.5500000000002</v>
      </c>
    </row>
    <row r="304" spans="1:3" ht="32" x14ac:dyDescent="0.2">
      <c r="A304" s="10" t="s">
        <v>483</v>
      </c>
      <c r="B304" s="13">
        <v>56</v>
      </c>
      <c r="C304" s="8">
        <v>52064.947934999997</v>
      </c>
    </row>
    <row r="305" spans="1:3" ht="48" x14ac:dyDescent="0.2">
      <c r="A305" s="10" t="s">
        <v>484</v>
      </c>
      <c r="B305" s="13">
        <v>56</v>
      </c>
      <c r="C305" s="8">
        <v>3836.954205</v>
      </c>
    </row>
    <row r="306" spans="1:3" ht="48" x14ac:dyDescent="0.2">
      <c r="A306" s="10" t="s">
        <v>485</v>
      </c>
      <c r="B306" s="13">
        <v>56</v>
      </c>
      <c r="C306" s="8">
        <v>29604.375</v>
      </c>
    </row>
    <row r="307" spans="1:3" ht="64" x14ac:dyDescent="0.2">
      <c r="A307" s="10" t="s">
        <v>486</v>
      </c>
      <c r="B307" s="13">
        <v>56</v>
      </c>
      <c r="C307" s="8">
        <v>7908.75</v>
      </c>
    </row>
    <row r="308" spans="1:3" ht="48" x14ac:dyDescent="0.2">
      <c r="A308" s="10" t="s">
        <v>177</v>
      </c>
      <c r="B308" s="13">
        <v>60</v>
      </c>
      <c r="C308" s="8">
        <v>66642</v>
      </c>
    </row>
    <row r="309" spans="1:3" ht="48" x14ac:dyDescent="0.2">
      <c r="A309" s="10" t="s">
        <v>178</v>
      </c>
      <c r="B309" s="13">
        <v>60</v>
      </c>
      <c r="C309" s="8">
        <v>9570</v>
      </c>
    </row>
    <row r="310" spans="1:3" ht="48" x14ac:dyDescent="0.2">
      <c r="A310" s="10" t="s">
        <v>179</v>
      </c>
      <c r="B310" s="13">
        <v>60</v>
      </c>
      <c r="C310" s="8">
        <v>57071.999999999985</v>
      </c>
    </row>
    <row r="311" spans="1:3" ht="48" x14ac:dyDescent="0.2">
      <c r="A311" s="10" t="s">
        <v>180</v>
      </c>
      <c r="B311" s="13">
        <v>60</v>
      </c>
      <c r="C311" s="8">
        <v>86130</v>
      </c>
    </row>
    <row r="312" spans="1:3" ht="48" x14ac:dyDescent="0.2">
      <c r="A312" s="10" t="s">
        <v>181</v>
      </c>
      <c r="B312" s="13">
        <v>60</v>
      </c>
      <c r="C312" s="8">
        <v>81083.999999999985</v>
      </c>
    </row>
    <row r="313" spans="1:3" ht="112" x14ac:dyDescent="0.2">
      <c r="A313" s="10" t="s">
        <v>225</v>
      </c>
      <c r="B313" s="13">
        <v>60</v>
      </c>
      <c r="C313" s="8">
        <v>6045.3606727800006</v>
      </c>
    </row>
    <row r="314" spans="1:3" ht="112" x14ac:dyDescent="0.2">
      <c r="A314" s="10" t="s">
        <v>226</v>
      </c>
      <c r="B314" s="13">
        <v>60</v>
      </c>
      <c r="C314" s="8">
        <v>5551.8178584959987</v>
      </c>
    </row>
    <row r="315" spans="1:3" ht="112" x14ac:dyDescent="0.2">
      <c r="A315" s="10" t="s">
        <v>227</v>
      </c>
      <c r="B315" s="13">
        <v>60</v>
      </c>
      <c r="C315" s="8">
        <v>5385.8667812040012</v>
      </c>
    </row>
    <row r="316" spans="1:3" ht="112" x14ac:dyDescent="0.2">
      <c r="A316" s="10" t="s">
        <v>228</v>
      </c>
      <c r="B316" s="13">
        <v>60</v>
      </c>
      <c r="C316" s="8">
        <v>5385.8667812040012</v>
      </c>
    </row>
    <row r="317" spans="1:3" ht="112" x14ac:dyDescent="0.2">
      <c r="A317" s="10" t="s">
        <v>229</v>
      </c>
      <c r="B317" s="13">
        <v>60</v>
      </c>
      <c r="C317" s="8">
        <v>5385.8667812040012</v>
      </c>
    </row>
    <row r="318" spans="1:3" ht="112" x14ac:dyDescent="0.2">
      <c r="A318" s="10" t="s">
        <v>230</v>
      </c>
      <c r="B318" s="13">
        <v>60</v>
      </c>
      <c r="C318" s="8">
        <v>893.69324740799993</v>
      </c>
    </row>
    <row r="319" spans="1:3" ht="112" x14ac:dyDescent="0.2">
      <c r="A319" s="10" t="s">
        <v>231</v>
      </c>
      <c r="B319" s="13">
        <v>60</v>
      </c>
      <c r="C319" s="8">
        <v>2379.3505107839992</v>
      </c>
    </row>
    <row r="320" spans="1:3" ht="112" x14ac:dyDescent="0.2">
      <c r="A320" s="10" t="s">
        <v>232</v>
      </c>
      <c r="B320" s="13">
        <v>60</v>
      </c>
      <c r="C320" s="8">
        <v>3097.7534427839996</v>
      </c>
    </row>
    <row r="321" spans="1:3" ht="48" x14ac:dyDescent="0.2">
      <c r="A321" s="10" t="s">
        <v>235</v>
      </c>
      <c r="B321" s="13">
        <v>60</v>
      </c>
      <c r="C321" s="8">
        <v>5969.281500000001</v>
      </c>
    </row>
    <row r="322" spans="1:3" ht="32" x14ac:dyDescent="0.2">
      <c r="A322" s="10" t="s">
        <v>236</v>
      </c>
      <c r="B322" s="13">
        <v>60</v>
      </c>
      <c r="C322" s="8">
        <v>161331.45599999998</v>
      </c>
    </row>
    <row r="323" spans="1:3" ht="96" x14ac:dyDescent="0.2">
      <c r="A323" s="10" t="s">
        <v>273</v>
      </c>
      <c r="B323" s="13">
        <v>60</v>
      </c>
      <c r="C323" s="8">
        <v>2700.5076000000004</v>
      </c>
    </row>
    <row r="324" spans="1:3" ht="96" x14ac:dyDescent="0.2">
      <c r="A324" s="10" t="s">
        <v>274</v>
      </c>
      <c r="B324" s="13">
        <v>60</v>
      </c>
      <c r="C324" s="8">
        <v>1080.2030400000001</v>
      </c>
    </row>
    <row r="325" spans="1:3" ht="96" x14ac:dyDescent="0.2">
      <c r="A325" s="10" t="s">
        <v>275</v>
      </c>
      <c r="B325" s="13">
        <v>60</v>
      </c>
      <c r="C325" s="8">
        <v>6481.2182399999992</v>
      </c>
    </row>
    <row r="326" spans="1:3" ht="96" x14ac:dyDescent="0.2">
      <c r="A326" s="10" t="s">
        <v>276</v>
      </c>
      <c r="B326" s="13">
        <v>60</v>
      </c>
      <c r="C326" s="8">
        <v>3765.2791680000005</v>
      </c>
    </row>
    <row r="327" spans="1:3" ht="96" x14ac:dyDescent="0.2">
      <c r="A327" s="10" t="s">
        <v>277</v>
      </c>
      <c r="B327" s="13">
        <v>60</v>
      </c>
      <c r="C327" s="8">
        <v>15554.923776000001</v>
      </c>
    </row>
    <row r="328" spans="1:3" ht="48" x14ac:dyDescent="0.2">
      <c r="A328" s="10" t="s">
        <v>278</v>
      </c>
      <c r="B328" s="13">
        <v>60</v>
      </c>
      <c r="C328" s="8">
        <v>18435.465216000004</v>
      </c>
    </row>
    <row r="329" spans="1:3" ht="80" x14ac:dyDescent="0.2">
      <c r="A329" s="10" t="s">
        <v>341</v>
      </c>
      <c r="B329" s="13">
        <v>60</v>
      </c>
      <c r="C329" s="8">
        <v>3553.0000000000005</v>
      </c>
    </row>
    <row r="330" spans="1:3" ht="80" x14ac:dyDescent="0.2">
      <c r="A330" s="10" t="s">
        <v>342</v>
      </c>
      <c r="B330" s="13">
        <v>60</v>
      </c>
      <c r="C330" s="8">
        <v>622.70065</v>
      </c>
    </row>
    <row r="331" spans="1:3" ht="80" x14ac:dyDescent="0.2">
      <c r="A331" s="10" t="s">
        <v>343</v>
      </c>
      <c r="B331" s="13">
        <v>60</v>
      </c>
      <c r="C331" s="8">
        <v>68.730168000000006</v>
      </c>
    </row>
    <row r="332" spans="1:3" ht="96" x14ac:dyDescent="0.2">
      <c r="A332" s="10" t="s">
        <v>344</v>
      </c>
      <c r="B332" s="13">
        <v>60</v>
      </c>
      <c r="C332" s="8">
        <v>203.71225275000006</v>
      </c>
    </row>
    <row r="333" spans="1:3" ht="96" x14ac:dyDescent="0.2">
      <c r="A333" s="10" t="s">
        <v>345</v>
      </c>
      <c r="B333" s="13">
        <v>60</v>
      </c>
      <c r="C333" s="8">
        <v>225.02521350000006</v>
      </c>
    </row>
    <row r="334" spans="1:3" ht="96" x14ac:dyDescent="0.2">
      <c r="A334" s="10" t="s">
        <v>346</v>
      </c>
      <c r="B334" s="13">
        <v>60</v>
      </c>
      <c r="C334" s="8">
        <v>783.52391520000003</v>
      </c>
    </row>
    <row r="335" spans="1:3" ht="96" x14ac:dyDescent="0.2">
      <c r="A335" s="10" t="s">
        <v>347</v>
      </c>
      <c r="B335" s="13">
        <v>60</v>
      </c>
      <c r="C335" s="8">
        <v>89.877912000000023</v>
      </c>
    </row>
    <row r="336" spans="1:3" ht="96" x14ac:dyDescent="0.2">
      <c r="A336" s="10" t="s">
        <v>348</v>
      </c>
      <c r="B336" s="13">
        <v>60</v>
      </c>
      <c r="C336" s="8">
        <v>56.107608300000003</v>
      </c>
    </row>
    <row r="337" spans="1:3" ht="96" x14ac:dyDescent="0.2">
      <c r="A337" s="10" t="s">
        <v>349</v>
      </c>
      <c r="B337" s="13">
        <v>60</v>
      </c>
      <c r="C337" s="8">
        <v>239.23385400000004</v>
      </c>
    </row>
    <row r="338" spans="1:3" ht="96" x14ac:dyDescent="0.2">
      <c r="A338" s="10" t="s">
        <v>350</v>
      </c>
      <c r="B338" s="13">
        <v>60</v>
      </c>
      <c r="C338" s="8">
        <v>89.217045000000027</v>
      </c>
    </row>
    <row r="339" spans="1:3" ht="16" x14ac:dyDescent="0.2">
      <c r="A339" s="10" t="s">
        <v>685</v>
      </c>
      <c r="B339" s="13">
        <v>60</v>
      </c>
      <c r="C339" s="8">
        <v>97788.25</v>
      </c>
    </row>
    <row r="340" spans="1:3" ht="16" x14ac:dyDescent="0.2">
      <c r="A340" s="10" t="s">
        <v>686</v>
      </c>
      <c r="B340" s="13">
        <v>60</v>
      </c>
      <c r="C340" s="8">
        <v>1006.145</v>
      </c>
    </row>
    <row r="341" spans="1:3" ht="16" x14ac:dyDescent="0.2">
      <c r="A341" s="10" t="s">
        <v>687</v>
      </c>
      <c r="B341" s="13">
        <v>60</v>
      </c>
      <c r="C341" s="8">
        <v>305.23500000000001</v>
      </c>
    </row>
    <row r="342" spans="1:3" ht="64" x14ac:dyDescent="0.2">
      <c r="A342" s="10" t="s">
        <v>734</v>
      </c>
      <c r="B342" s="13">
        <v>63</v>
      </c>
      <c r="C342" s="8">
        <v>13145.625</v>
      </c>
    </row>
    <row r="343" spans="1:3" ht="48" x14ac:dyDescent="0.2">
      <c r="A343" s="10" t="s">
        <v>735</v>
      </c>
      <c r="B343" s="13">
        <v>63</v>
      </c>
      <c r="C343" s="8">
        <v>525.82500000000005</v>
      </c>
    </row>
    <row r="344" spans="1:3" ht="48" x14ac:dyDescent="0.2">
      <c r="A344" s="10" t="s">
        <v>288</v>
      </c>
      <c r="B344" s="13">
        <v>68</v>
      </c>
      <c r="C344" s="8">
        <v>6696</v>
      </c>
    </row>
    <row r="345" spans="1:3" ht="64" x14ac:dyDescent="0.2">
      <c r="A345" s="10" t="s">
        <v>289</v>
      </c>
      <c r="B345" s="13">
        <v>68</v>
      </c>
      <c r="C345" s="8">
        <v>1255.5</v>
      </c>
    </row>
    <row r="346" spans="1:3" ht="112" x14ac:dyDescent="0.2">
      <c r="A346" s="10" t="s">
        <v>549</v>
      </c>
      <c r="B346" s="13">
        <v>68</v>
      </c>
      <c r="C346" s="8">
        <v>2052</v>
      </c>
    </row>
    <row r="347" spans="1:3" ht="112" x14ac:dyDescent="0.2">
      <c r="A347" s="10" t="s">
        <v>550</v>
      </c>
      <c r="B347" s="13">
        <v>68</v>
      </c>
      <c r="C347" s="8">
        <v>207.76499999999996</v>
      </c>
    </row>
    <row r="348" spans="1:3" ht="48" x14ac:dyDescent="0.2">
      <c r="A348" s="10" t="s">
        <v>173</v>
      </c>
      <c r="B348" s="13">
        <v>70</v>
      </c>
      <c r="C348" s="8">
        <v>341.28000000000003</v>
      </c>
    </row>
    <row r="349" spans="1:3" ht="48" x14ac:dyDescent="0.2">
      <c r="A349" s="10" t="s">
        <v>174</v>
      </c>
      <c r="B349" s="13">
        <v>70</v>
      </c>
      <c r="C349" s="8">
        <v>307663.92000000004</v>
      </c>
    </row>
    <row r="350" spans="1:3" ht="16" x14ac:dyDescent="0.2">
      <c r="A350" s="10" t="s">
        <v>203</v>
      </c>
      <c r="B350" s="13">
        <v>70</v>
      </c>
      <c r="C350" s="8">
        <v>15477.000000000002</v>
      </c>
    </row>
    <row r="351" spans="1:3" ht="32" x14ac:dyDescent="0.2">
      <c r="A351" s="10" t="s">
        <v>204</v>
      </c>
      <c r="B351" s="13">
        <v>70</v>
      </c>
      <c r="C351" s="8">
        <v>3819.0000000000005</v>
      </c>
    </row>
    <row r="352" spans="1:3" ht="32" x14ac:dyDescent="0.2">
      <c r="A352" s="10" t="s">
        <v>205</v>
      </c>
      <c r="B352" s="13">
        <v>70</v>
      </c>
      <c r="C352" s="8">
        <v>8241</v>
      </c>
    </row>
    <row r="353" spans="1:3" ht="48" x14ac:dyDescent="0.2">
      <c r="A353" s="10" t="s">
        <v>206</v>
      </c>
      <c r="B353" s="13">
        <v>70</v>
      </c>
      <c r="C353" s="8">
        <v>15075.000000000002</v>
      </c>
    </row>
    <row r="354" spans="1:3" ht="32" x14ac:dyDescent="0.2">
      <c r="A354" s="10" t="s">
        <v>207</v>
      </c>
      <c r="B354" s="13">
        <v>70</v>
      </c>
      <c r="C354" s="8">
        <v>124821.00000000001</v>
      </c>
    </row>
    <row r="355" spans="1:3" ht="32" x14ac:dyDescent="0.2">
      <c r="A355" s="10" t="s">
        <v>208</v>
      </c>
      <c r="B355" s="13">
        <v>70</v>
      </c>
      <c r="C355" s="8">
        <v>1206</v>
      </c>
    </row>
    <row r="356" spans="1:3" ht="32" x14ac:dyDescent="0.2">
      <c r="A356" s="10" t="s">
        <v>209</v>
      </c>
      <c r="B356" s="13">
        <v>70</v>
      </c>
      <c r="C356" s="8">
        <v>30351.000000000004</v>
      </c>
    </row>
    <row r="357" spans="1:3" ht="48" x14ac:dyDescent="0.2">
      <c r="A357" s="10" t="s">
        <v>210</v>
      </c>
      <c r="B357" s="13">
        <v>70</v>
      </c>
      <c r="C357" s="8">
        <v>8844.0000000000018</v>
      </c>
    </row>
    <row r="358" spans="1:3" ht="32" x14ac:dyDescent="0.2">
      <c r="A358" s="10" t="s">
        <v>211</v>
      </c>
      <c r="B358" s="13">
        <v>70</v>
      </c>
      <c r="C358" s="8">
        <v>14070</v>
      </c>
    </row>
    <row r="359" spans="1:3" ht="16" x14ac:dyDescent="0.2">
      <c r="A359" s="10" t="s">
        <v>212</v>
      </c>
      <c r="B359" s="13">
        <v>70</v>
      </c>
      <c r="C359" s="8">
        <v>38592</v>
      </c>
    </row>
    <row r="360" spans="1:3" ht="32" x14ac:dyDescent="0.2">
      <c r="A360" s="10" t="s">
        <v>681</v>
      </c>
      <c r="B360" s="13">
        <v>70</v>
      </c>
      <c r="C360" s="8">
        <v>8617.3200000000015</v>
      </c>
    </row>
    <row r="361" spans="1:3" ht="32" x14ac:dyDescent="0.2">
      <c r="A361" s="10" t="s">
        <v>682</v>
      </c>
      <c r="B361" s="13">
        <v>70</v>
      </c>
      <c r="C361" s="8">
        <v>13821.84</v>
      </c>
    </row>
    <row r="362" spans="1:3" ht="32" x14ac:dyDescent="0.2">
      <c r="A362" s="10" t="s">
        <v>702</v>
      </c>
      <c r="B362" s="13">
        <v>70</v>
      </c>
      <c r="C362" s="8">
        <v>1142.8125000000002</v>
      </c>
    </row>
    <row r="363" spans="1:3" ht="32" x14ac:dyDescent="0.2">
      <c r="A363" s="10" t="s">
        <v>233</v>
      </c>
      <c r="B363" s="13">
        <v>71</v>
      </c>
      <c r="C363" s="8">
        <v>2569.9274999999998</v>
      </c>
    </row>
    <row r="364" spans="1:3" ht="48" x14ac:dyDescent="0.2">
      <c r="A364" s="10" t="s">
        <v>234</v>
      </c>
      <c r="B364" s="13">
        <v>71</v>
      </c>
      <c r="C364" s="8">
        <v>1075.1737499999999</v>
      </c>
    </row>
    <row r="365" spans="1:3" ht="80" x14ac:dyDescent="0.2">
      <c r="A365" s="10" t="s">
        <v>238</v>
      </c>
      <c r="B365" s="13">
        <v>71</v>
      </c>
      <c r="C365" s="8">
        <v>50231.999999999993</v>
      </c>
    </row>
    <row r="366" spans="1:3" ht="80" x14ac:dyDescent="0.2">
      <c r="A366" s="10" t="s">
        <v>183</v>
      </c>
      <c r="B366" s="13">
        <v>72</v>
      </c>
      <c r="C366" s="8">
        <v>482717.39999999997</v>
      </c>
    </row>
    <row r="367" spans="1:3" ht="48" x14ac:dyDescent="0.2">
      <c r="A367" s="10" t="s">
        <v>187</v>
      </c>
      <c r="B367" s="13">
        <v>72</v>
      </c>
      <c r="C367" s="8">
        <v>68475</v>
      </c>
    </row>
    <row r="368" spans="1:3" ht="64" x14ac:dyDescent="0.2">
      <c r="A368" s="10" t="s">
        <v>188</v>
      </c>
      <c r="B368" s="13">
        <v>72</v>
      </c>
      <c r="C368" s="8">
        <v>26961</v>
      </c>
    </row>
    <row r="369" spans="1:3" ht="64" x14ac:dyDescent="0.2">
      <c r="A369" s="10" t="s">
        <v>189</v>
      </c>
      <c r="B369" s="13">
        <v>72</v>
      </c>
      <c r="C369" s="8">
        <v>709.5</v>
      </c>
    </row>
    <row r="370" spans="1:3" ht="96" x14ac:dyDescent="0.2">
      <c r="A370" s="10" t="s">
        <v>223</v>
      </c>
      <c r="B370" s="13">
        <v>72</v>
      </c>
      <c r="C370" s="8">
        <v>16323.84</v>
      </c>
    </row>
    <row r="371" spans="1:3" ht="96" x14ac:dyDescent="0.2">
      <c r="A371" s="10" t="s">
        <v>224</v>
      </c>
      <c r="B371" s="13">
        <v>72</v>
      </c>
      <c r="C371" s="8">
        <v>138412.56</v>
      </c>
    </row>
    <row r="372" spans="1:3" ht="48" x14ac:dyDescent="0.2">
      <c r="A372" s="10" t="s">
        <v>330</v>
      </c>
      <c r="B372" s="13">
        <v>72</v>
      </c>
      <c r="C372" s="8">
        <v>257334</v>
      </c>
    </row>
    <row r="373" spans="1:3" ht="48" x14ac:dyDescent="0.2">
      <c r="A373" s="10" t="s">
        <v>331</v>
      </c>
      <c r="B373" s="13">
        <v>72</v>
      </c>
      <c r="C373" s="8">
        <v>10857</v>
      </c>
    </row>
    <row r="374" spans="1:3" ht="48" x14ac:dyDescent="0.2">
      <c r="A374" s="10" t="s">
        <v>332</v>
      </c>
      <c r="B374" s="13">
        <v>72</v>
      </c>
      <c r="C374" s="8">
        <v>4620</v>
      </c>
    </row>
    <row r="375" spans="1:3" ht="96" x14ac:dyDescent="0.2">
      <c r="A375" s="10" t="s">
        <v>333</v>
      </c>
      <c r="B375" s="13">
        <v>72</v>
      </c>
      <c r="C375" s="8">
        <v>1386.0000000000002</v>
      </c>
    </row>
    <row r="376" spans="1:3" ht="64" x14ac:dyDescent="0.2">
      <c r="A376" s="10" t="s">
        <v>334</v>
      </c>
      <c r="B376" s="13">
        <v>72</v>
      </c>
      <c r="C376" s="8">
        <v>1241.625</v>
      </c>
    </row>
    <row r="377" spans="1:3" ht="64" x14ac:dyDescent="0.2">
      <c r="A377" s="10" t="s">
        <v>335</v>
      </c>
      <c r="B377" s="13">
        <v>72</v>
      </c>
      <c r="C377" s="8">
        <v>993.3</v>
      </c>
    </row>
    <row r="378" spans="1:3" ht="64" x14ac:dyDescent="0.2">
      <c r="A378" s="10" t="s">
        <v>336</v>
      </c>
      <c r="B378" s="13">
        <v>72</v>
      </c>
      <c r="C378" s="8">
        <v>773.85</v>
      </c>
    </row>
    <row r="379" spans="1:3" ht="64" x14ac:dyDescent="0.2">
      <c r="A379" s="10" t="s">
        <v>351</v>
      </c>
      <c r="B379" s="13">
        <v>72</v>
      </c>
      <c r="C379" s="8">
        <v>57403320</v>
      </c>
    </row>
    <row r="380" spans="1:3" ht="32" x14ac:dyDescent="0.2">
      <c r="A380" s="10" t="s">
        <v>352</v>
      </c>
      <c r="B380" s="13">
        <v>72</v>
      </c>
      <c r="C380" s="8">
        <v>177806.47500000003</v>
      </c>
    </row>
    <row r="381" spans="1:3" ht="48" x14ac:dyDescent="0.2">
      <c r="A381" s="10" t="s">
        <v>38</v>
      </c>
      <c r="B381" s="13">
        <v>72</v>
      </c>
      <c r="C381" s="8">
        <v>26730</v>
      </c>
    </row>
    <row r="382" spans="1:3" ht="16" x14ac:dyDescent="0.2">
      <c r="A382" s="10" t="s">
        <v>40</v>
      </c>
      <c r="B382" s="13">
        <v>72</v>
      </c>
      <c r="C382" s="8">
        <v>73590</v>
      </c>
    </row>
    <row r="383" spans="1:3" ht="48" x14ac:dyDescent="0.2">
      <c r="A383" s="10" t="s">
        <v>473</v>
      </c>
      <c r="B383" s="13">
        <v>72</v>
      </c>
      <c r="C383" s="8">
        <v>5676</v>
      </c>
    </row>
    <row r="384" spans="1:3" ht="48" x14ac:dyDescent="0.2">
      <c r="A384" s="10" t="s">
        <v>477</v>
      </c>
      <c r="B384" s="13">
        <v>72</v>
      </c>
      <c r="C384" s="8">
        <v>59648400</v>
      </c>
    </row>
    <row r="385" spans="1:3" ht="32" x14ac:dyDescent="0.2">
      <c r="A385" s="10" t="s">
        <v>684</v>
      </c>
      <c r="B385" s="13">
        <v>72</v>
      </c>
      <c r="C385" s="8">
        <v>7095</v>
      </c>
    </row>
    <row r="386" spans="1:3" ht="32" x14ac:dyDescent="0.2">
      <c r="A386" s="10" t="s">
        <v>213</v>
      </c>
      <c r="B386" s="13">
        <v>73</v>
      </c>
      <c r="C386" s="8">
        <v>260496.00000000003</v>
      </c>
    </row>
    <row r="387" spans="1:3" ht="48" x14ac:dyDescent="0.2">
      <c r="A387" s="10" t="s">
        <v>193</v>
      </c>
      <c r="B387" s="13">
        <v>75</v>
      </c>
      <c r="C387" s="8">
        <v>12240112.5</v>
      </c>
    </row>
    <row r="388" spans="1:3" ht="64" x14ac:dyDescent="0.2">
      <c r="A388" s="10" t="s">
        <v>194</v>
      </c>
      <c r="B388" s="13">
        <v>75</v>
      </c>
      <c r="C388" s="8">
        <v>845680.50000000012</v>
      </c>
    </row>
    <row r="389" spans="1:3" ht="64" x14ac:dyDescent="0.2">
      <c r="A389" s="10" t="s">
        <v>195</v>
      </c>
      <c r="B389" s="13">
        <v>75</v>
      </c>
      <c r="C389" s="8">
        <v>3060028.125</v>
      </c>
    </row>
    <row r="390" spans="1:3" ht="32" x14ac:dyDescent="0.2">
      <c r="A390" s="10" t="s">
        <v>196</v>
      </c>
      <c r="B390" s="13">
        <v>75</v>
      </c>
      <c r="C390" s="8">
        <v>49740.074999999997</v>
      </c>
    </row>
    <row r="391" spans="1:3" ht="32" x14ac:dyDescent="0.2">
      <c r="A391" s="10" t="s">
        <v>198</v>
      </c>
      <c r="B391" s="13">
        <v>75</v>
      </c>
      <c r="C391" s="8">
        <v>705.29976000000011</v>
      </c>
    </row>
    <row r="392" spans="1:3" ht="32" x14ac:dyDescent="0.2">
      <c r="A392" s="10" t="s">
        <v>199</v>
      </c>
      <c r="B392" s="13">
        <v>75</v>
      </c>
      <c r="C392" s="8">
        <v>267.15899999999999</v>
      </c>
    </row>
    <row r="393" spans="1:3" ht="32" x14ac:dyDescent="0.2">
      <c r="A393" s="10" t="s">
        <v>200</v>
      </c>
      <c r="B393" s="13">
        <v>75</v>
      </c>
      <c r="C393" s="8">
        <v>240.44310000000002</v>
      </c>
    </row>
    <row r="394" spans="1:3" ht="32" x14ac:dyDescent="0.2">
      <c r="A394" s="10" t="s">
        <v>201</v>
      </c>
      <c r="B394" s="13">
        <v>75</v>
      </c>
      <c r="C394" s="8">
        <v>235.09992000000003</v>
      </c>
    </row>
    <row r="395" spans="1:3" ht="48" x14ac:dyDescent="0.2">
      <c r="A395" s="10" t="s">
        <v>239</v>
      </c>
      <c r="B395" s="13">
        <v>75</v>
      </c>
      <c r="C395" s="8">
        <v>32961.599999999999</v>
      </c>
    </row>
    <row r="396" spans="1:3" ht="48" x14ac:dyDescent="0.2">
      <c r="A396" s="10" t="s">
        <v>284</v>
      </c>
      <c r="B396" s="13">
        <v>75</v>
      </c>
      <c r="C396" s="8">
        <v>222963.84</v>
      </c>
    </row>
    <row r="397" spans="1:3" ht="64" x14ac:dyDescent="0.2">
      <c r="A397" s="10" t="s">
        <v>293</v>
      </c>
      <c r="B397" s="13">
        <v>75</v>
      </c>
      <c r="C397" s="8">
        <v>108107.99999999999</v>
      </c>
    </row>
    <row r="398" spans="1:3" ht="64" x14ac:dyDescent="0.2">
      <c r="A398" s="10" t="s">
        <v>294</v>
      </c>
      <c r="B398" s="13">
        <v>75</v>
      </c>
      <c r="C398" s="8">
        <v>72072.000000000015</v>
      </c>
    </row>
    <row r="399" spans="1:3" ht="64" x14ac:dyDescent="0.2">
      <c r="A399" s="10" t="s">
        <v>295</v>
      </c>
      <c r="B399" s="13">
        <v>75</v>
      </c>
      <c r="C399" s="8">
        <v>108107.99999999999</v>
      </c>
    </row>
    <row r="400" spans="1:3" ht="64" x14ac:dyDescent="0.2">
      <c r="A400" s="10" t="s">
        <v>296</v>
      </c>
      <c r="B400" s="13">
        <v>75</v>
      </c>
      <c r="C400" s="8">
        <v>6720</v>
      </c>
    </row>
    <row r="401" spans="1:3" ht="64" x14ac:dyDescent="0.2">
      <c r="A401" s="10" t="s">
        <v>353</v>
      </c>
      <c r="B401" s="13">
        <v>75</v>
      </c>
      <c r="C401" s="8">
        <v>103712.40960000001</v>
      </c>
    </row>
    <row r="402" spans="1:3" ht="64" x14ac:dyDescent="0.2">
      <c r="A402" s="10" t="s">
        <v>354</v>
      </c>
      <c r="B402" s="13">
        <v>75</v>
      </c>
      <c r="C402" s="8">
        <v>62729.279999999999</v>
      </c>
    </row>
    <row r="403" spans="1:3" ht="48" x14ac:dyDescent="0.2">
      <c r="A403" s="10" t="s">
        <v>356</v>
      </c>
      <c r="B403" s="13">
        <v>75</v>
      </c>
      <c r="C403" s="8">
        <v>110.6625282048</v>
      </c>
    </row>
    <row r="404" spans="1:3" ht="48" x14ac:dyDescent="0.2">
      <c r="A404" s="10" t="s">
        <v>357</v>
      </c>
      <c r="B404" s="13">
        <v>75</v>
      </c>
      <c r="C404" s="8">
        <v>353.39781734400003</v>
      </c>
    </row>
    <row r="405" spans="1:3" ht="48" x14ac:dyDescent="0.2">
      <c r="A405" s="10" t="s">
        <v>358</v>
      </c>
      <c r="B405" s="13">
        <v>75</v>
      </c>
      <c r="C405" s="8">
        <v>29.342337024000003</v>
      </c>
    </row>
    <row r="406" spans="1:3" ht="48" x14ac:dyDescent="0.2">
      <c r="A406" s="10" t="s">
        <v>359</v>
      </c>
      <c r="B406" s="13">
        <v>75</v>
      </c>
      <c r="C406" s="8">
        <v>197.72220948480003</v>
      </c>
    </row>
    <row r="407" spans="1:3" ht="48" x14ac:dyDescent="0.2">
      <c r="A407" s="10" t="s">
        <v>360</v>
      </c>
      <c r="B407" s="13">
        <v>75</v>
      </c>
      <c r="C407" s="8">
        <v>3659.7310464000007</v>
      </c>
    </row>
    <row r="408" spans="1:3" ht="48" x14ac:dyDescent="0.2">
      <c r="A408" s="10" t="s">
        <v>361</v>
      </c>
      <c r="B408" s="13">
        <v>75</v>
      </c>
      <c r="C408" s="8">
        <v>1126.7457417216001</v>
      </c>
    </row>
    <row r="409" spans="1:3" ht="48" x14ac:dyDescent="0.2">
      <c r="A409" s="10" t="s">
        <v>362</v>
      </c>
      <c r="B409" s="13">
        <v>75</v>
      </c>
      <c r="C409" s="8">
        <v>264.733248</v>
      </c>
    </row>
    <row r="410" spans="1:3" ht="48" x14ac:dyDescent="0.2">
      <c r="A410" s="10" t="s">
        <v>363</v>
      </c>
      <c r="B410" s="13">
        <v>75</v>
      </c>
      <c r="C410" s="8">
        <v>123.41241120000001</v>
      </c>
    </row>
    <row r="411" spans="1:3" ht="48" x14ac:dyDescent="0.2">
      <c r="A411" s="10" t="s">
        <v>364</v>
      </c>
      <c r="B411" s="13">
        <v>75</v>
      </c>
      <c r="C411" s="8">
        <v>166.43018995200001</v>
      </c>
    </row>
    <row r="412" spans="1:3" ht="48" x14ac:dyDescent="0.2">
      <c r="A412" s="10" t="s">
        <v>365</v>
      </c>
      <c r="B412" s="13">
        <v>75</v>
      </c>
      <c r="C412" s="8">
        <v>620.92771104000008</v>
      </c>
    </row>
    <row r="413" spans="1:3" ht="48" x14ac:dyDescent="0.2">
      <c r="A413" s="10" t="s">
        <v>366</v>
      </c>
      <c r="B413" s="13">
        <v>75</v>
      </c>
      <c r="C413" s="8">
        <v>326.06159040000006</v>
      </c>
    </row>
    <row r="414" spans="1:3" ht="64" x14ac:dyDescent="0.2">
      <c r="A414" s="10" t="s">
        <v>367</v>
      </c>
      <c r="B414" s="13">
        <v>75</v>
      </c>
      <c r="C414" s="8">
        <v>1198.49275728</v>
      </c>
    </row>
    <row r="415" spans="1:3" ht="48" x14ac:dyDescent="0.2">
      <c r="A415" s="10" t="s">
        <v>368</v>
      </c>
      <c r="B415" s="13">
        <v>75</v>
      </c>
      <c r="C415" s="8">
        <v>250.59832462079996</v>
      </c>
    </row>
    <row r="416" spans="1:3" ht="48" x14ac:dyDescent="0.2">
      <c r="A416" s="10" t="s">
        <v>369</v>
      </c>
      <c r="B416" s="13">
        <v>75</v>
      </c>
      <c r="C416" s="8">
        <v>261.40163961600001</v>
      </c>
    </row>
    <row r="417" spans="1:3" ht="48" x14ac:dyDescent="0.2">
      <c r="A417" s="10" t="s">
        <v>370</v>
      </c>
      <c r="B417" s="13">
        <v>75</v>
      </c>
      <c r="C417" s="8">
        <v>1792.9966092480001</v>
      </c>
    </row>
    <row r="418" spans="1:3" ht="48" x14ac:dyDescent="0.2">
      <c r="A418" s="10" t="s">
        <v>704</v>
      </c>
      <c r="B418" s="13">
        <v>75</v>
      </c>
      <c r="C418" s="8">
        <v>32913</v>
      </c>
    </row>
    <row r="419" spans="1:3" ht="48" x14ac:dyDescent="0.2">
      <c r="A419" s="10" t="s">
        <v>479</v>
      </c>
      <c r="B419" s="13">
        <v>76</v>
      </c>
      <c r="C419" s="8">
        <v>296.40588000000008</v>
      </c>
    </row>
    <row r="420" spans="1:3" ht="48" x14ac:dyDescent="0.2">
      <c r="A420" s="10" t="s">
        <v>480</v>
      </c>
      <c r="B420" s="13">
        <v>76</v>
      </c>
      <c r="C420" s="8">
        <v>408.35487500000011</v>
      </c>
    </row>
    <row r="421" spans="1:3" ht="48" x14ac:dyDescent="0.2">
      <c r="A421" s="10" t="s">
        <v>481</v>
      </c>
      <c r="B421" s="13">
        <v>76</v>
      </c>
      <c r="C421" s="8">
        <v>133.2631275</v>
      </c>
    </row>
    <row r="422" spans="1:3" ht="48" x14ac:dyDescent="0.2">
      <c r="A422" s="10" t="s">
        <v>482</v>
      </c>
      <c r="B422" s="13">
        <v>76</v>
      </c>
      <c r="C422" s="8">
        <v>50.795362500000003</v>
      </c>
    </row>
    <row r="423" spans="1:3" ht="64" x14ac:dyDescent="0.2">
      <c r="A423" s="10" t="s">
        <v>690</v>
      </c>
      <c r="B423" s="13">
        <v>80</v>
      </c>
      <c r="C423" s="8">
        <v>5340.8092500000002</v>
      </c>
    </row>
    <row r="424" spans="1:3" ht="80" x14ac:dyDescent="0.2">
      <c r="A424" s="10" t="s">
        <v>691</v>
      </c>
      <c r="B424" s="13">
        <v>80</v>
      </c>
      <c r="C424" s="8">
        <v>423.87375000000009</v>
      </c>
    </row>
    <row r="425" spans="1:3" ht="80" x14ac:dyDescent="0.2">
      <c r="A425" s="10" t="s">
        <v>692</v>
      </c>
      <c r="B425" s="13">
        <v>80</v>
      </c>
      <c r="C425" s="8">
        <v>11783.690250000001</v>
      </c>
    </row>
    <row r="426" spans="1:3" ht="80" x14ac:dyDescent="0.2">
      <c r="A426" s="10" t="s">
        <v>693</v>
      </c>
      <c r="B426" s="13">
        <v>80</v>
      </c>
      <c r="C426" s="8">
        <v>762.97275000000013</v>
      </c>
    </row>
    <row r="427" spans="1:3" ht="80" x14ac:dyDescent="0.2">
      <c r="A427" s="10" t="s">
        <v>694</v>
      </c>
      <c r="B427" s="13">
        <v>80</v>
      </c>
      <c r="C427" s="8">
        <v>2797.5667500000004</v>
      </c>
    </row>
    <row r="428" spans="1:3" ht="64" x14ac:dyDescent="0.2">
      <c r="A428" s="10" t="s">
        <v>695</v>
      </c>
      <c r="B428" s="13">
        <v>80</v>
      </c>
      <c r="C428" s="8">
        <v>17039.724750000001</v>
      </c>
    </row>
    <row r="429" spans="1:3" ht="64" x14ac:dyDescent="0.2">
      <c r="A429" s="10" t="s">
        <v>696</v>
      </c>
      <c r="B429" s="13">
        <v>80</v>
      </c>
      <c r="C429" s="8">
        <v>593.42325000000005</v>
      </c>
    </row>
    <row r="430" spans="1:3" ht="64" x14ac:dyDescent="0.2">
      <c r="A430" s="10" t="s">
        <v>697</v>
      </c>
      <c r="B430" s="13">
        <v>80</v>
      </c>
      <c r="C430" s="8">
        <v>161.072025</v>
      </c>
    </row>
    <row r="431" spans="1:3" ht="48" x14ac:dyDescent="0.2">
      <c r="A431" s="10" t="s">
        <v>240</v>
      </c>
      <c r="B431" s="13">
        <v>82</v>
      </c>
      <c r="C431" s="8">
        <v>1433.5650000000001</v>
      </c>
    </row>
    <row r="432" spans="1:3" ht="48" x14ac:dyDescent="0.2">
      <c r="A432" s="10" t="s">
        <v>241</v>
      </c>
      <c r="B432" s="13">
        <v>82</v>
      </c>
      <c r="C432" s="8">
        <v>2272.7249999999999</v>
      </c>
    </row>
    <row r="433" spans="1:3" ht="48" x14ac:dyDescent="0.2">
      <c r="A433" s="10" t="s">
        <v>242</v>
      </c>
      <c r="B433" s="13">
        <v>82</v>
      </c>
      <c r="C433" s="8">
        <v>37243.552499999998</v>
      </c>
    </row>
    <row r="434" spans="1:3" ht="48" x14ac:dyDescent="0.2">
      <c r="A434" s="10" t="s">
        <v>243</v>
      </c>
      <c r="B434" s="13">
        <v>82</v>
      </c>
      <c r="C434" s="8">
        <v>437.0625</v>
      </c>
    </row>
    <row r="435" spans="1:3" ht="48" x14ac:dyDescent="0.2">
      <c r="A435" s="10" t="s">
        <v>244</v>
      </c>
      <c r="B435" s="13">
        <v>82</v>
      </c>
      <c r="C435" s="8">
        <v>6223.77</v>
      </c>
    </row>
    <row r="436" spans="1:3" ht="32" x14ac:dyDescent="0.2">
      <c r="A436" s="10" t="s">
        <v>583</v>
      </c>
      <c r="B436" s="13">
        <v>85</v>
      </c>
      <c r="C436" s="8">
        <v>6161872.5</v>
      </c>
    </row>
    <row r="437" spans="1:3" ht="64" x14ac:dyDescent="0.2">
      <c r="A437" s="10" t="s">
        <v>192</v>
      </c>
      <c r="B437" s="13">
        <v>93</v>
      </c>
      <c r="C437" s="8">
        <v>36604.799999999996</v>
      </c>
    </row>
    <row r="438" spans="1:3" ht="64" x14ac:dyDescent="0.2">
      <c r="A438" s="10" t="s">
        <v>340</v>
      </c>
      <c r="B438" s="13">
        <v>93</v>
      </c>
      <c r="C438" s="8">
        <v>36285</v>
      </c>
    </row>
    <row r="439" spans="1:3" ht="32" x14ac:dyDescent="0.2">
      <c r="A439" s="10" t="s">
        <v>175</v>
      </c>
      <c r="B439" s="13">
        <v>108</v>
      </c>
      <c r="C439" s="8">
        <v>9572.1224999999995</v>
      </c>
    </row>
    <row r="440" spans="1:3" ht="16" x14ac:dyDescent="0.2">
      <c r="A440" s="10" t="s">
        <v>680</v>
      </c>
      <c r="B440" s="13">
        <v>108</v>
      </c>
      <c r="C440" s="8">
        <v>105225</v>
      </c>
    </row>
    <row r="441" spans="1:3" ht="32" x14ac:dyDescent="0.2">
      <c r="A441" s="10" t="s">
        <v>153</v>
      </c>
      <c r="B441" s="13">
        <v>150</v>
      </c>
      <c r="C441" s="8">
        <v>680340</v>
      </c>
    </row>
    <row r="442" spans="1:3" ht="32" x14ac:dyDescent="0.2">
      <c r="A442" s="10" t="s">
        <v>154</v>
      </c>
      <c r="B442" s="13">
        <v>150</v>
      </c>
      <c r="C442" s="8">
        <v>3910</v>
      </c>
    </row>
    <row r="443" spans="1:3" ht="32" x14ac:dyDescent="0.2">
      <c r="A443" s="10" t="s">
        <v>168</v>
      </c>
      <c r="B443" s="13">
        <v>150</v>
      </c>
      <c r="C443" s="8">
        <v>12584</v>
      </c>
    </row>
    <row r="444" spans="1:3" ht="16" x14ac:dyDescent="0.2">
      <c r="A444" s="10" t="s">
        <v>169</v>
      </c>
      <c r="B444" s="13">
        <v>150</v>
      </c>
      <c r="C444" s="8">
        <v>18252</v>
      </c>
    </row>
    <row r="445" spans="1:3" ht="16" x14ac:dyDescent="0.2">
      <c r="A445" s="10" t="s">
        <v>170</v>
      </c>
      <c r="B445" s="13">
        <v>150</v>
      </c>
      <c r="C445" s="8">
        <v>2850</v>
      </c>
    </row>
    <row r="446" spans="1:3" ht="32" x14ac:dyDescent="0.2">
      <c r="A446" s="10" t="s">
        <v>171</v>
      </c>
      <c r="B446" s="13">
        <v>150</v>
      </c>
      <c r="C446" s="8">
        <v>445740</v>
      </c>
    </row>
    <row r="447" spans="1:3" ht="16" x14ac:dyDescent="0.2">
      <c r="A447" s="10" t="s">
        <v>172</v>
      </c>
      <c r="B447" s="13">
        <v>150</v>
      </c>
      <c r="C447" s="8">
        <v>1235</v>
      </c>
    </row>
    <row r="448" spans="1:3" ht="16" x14ac:dyDescent="0.2">
      <c r="A448" s="10" t="s">
        <v>679</v>
      </c>
      <c r="B448" s="13">
        <v>150</v>
      </c>
      <c r="C448" s="8">
        <v>6825</v>
      </c>
    </row>
    <row r="449" spans="1:3" ht="96" x14ac:dyDescent="0.2">
      <c r="A449" s="10" t="s">
        <v>157</v>
      </c>
      <c r="B449" s="13">
        <v>300</v>
      </c>
      <c r="C449" s="8">
        <v>177811.20000000001</v>
      </c>
    </row>
    <row r="450" spans="1:3" ht="96" x14ac:dyDescent="0.2">
      <c r="A450" s="10" t="s">
        <v>158</v>
      </c>
      <c r="B450" s="13">
        <v>300</v>
      </c>
      <c r="C450" s="8">
        <v>725.76</v>
      </c>
    </row>
    <row r="451" spans="1:3" ht="16" x14ac:dyDescent="0.2">
      <c r="A451" s="10" t="s">
        <v>674</v>
      </c>
      <c r="B451" s="13">
        <v>300</v>
      </c>
      <c r="C451" s="8">
        <v>11070</v>
      </c>
    </row>
    <row r="452" spans="1:3" ht="32" x14ac:dyDescent="0.2">
      <c r="A452" s="10" t="s">
        <v>675</v>
      </c>
      <c r="B452" s="13">
        <v>300</v>
      </c>
      <c r="C452" s="8">
        <v>71955</v>
      </c>
    </row>
    <row r="453" spans="1:3" ht="16" x14ac:dyDescent="0.2">
      <c r="A453" s="10" t="s">
        <v>676</v>
      </c>
      <c r="B453" s="13">
        <v>300</v>
      </c>
      <c r="C453" s="8">
        <v>65497.5</v>
      </c>
    </row>
    <row r="454" spans="1:3" ht="32" x14ac:dyDescent="0.2">
      <c r="A454" s="10" t="s">
        <v>698</v>
      </c>
      <c r="B454" s="13">
        <v>300</v>
      </c>
      <c r="C454" s="8">
        <v>9434.8799999999992</v>
      </c>
    </row>
    <row r="455" spans="1:3" ht="32" x14ac:dyDescent="0.2">
      <c r="A455" s="10" t="s">
        <v>699</v>
      </c>
      <c r="B455" s="13">
        <v>300</v>
      </c>
      <c r="C455" s="8">
        <v>52617.599999999999</v>
      </c>
    </row>
    <row r="456" spans="1:3" ht="32" x14ac:dyDescent="0.2">
      <c r="A456" s="10" t="s">
        <v>698</v>
      </c>
      <c r="B456" s="13">
        <v>300</v>
      </c>
      <c r="C456" s="8">
        <v>37558.080000000002</v>
      </c>
    </row>
    <row r="457" spans="1:3" ht="32" x14ac:dyDescent="0.2">
      <c r="A457" s="10" t="s">
        <v>147</v>
      </c>
      <c r="B457" s="13">
        <v>750</v>
      </c>
      <c r="C457" s="8">
        <v>257377.5</v>
      </c>
    </row>
    <row r="458" spans="1:3" ht="128" x14ac:dyDescent="0.2">
      <c r="A458" s="10" t="s">
        <v>161</v>
      </c>
      <c r="B458" s="13">
        <v>750</v>
      </c>
      <c r="C458" s="8">
        <v>775686.13199999998</v>
      </c>
    </row>
    <row r="459" spans="1:3" ht="32" x14ac:dyDescent="0.2">
      <c r="A459" s="10" t="s">
        <v>176</v>
      </c>
      <c r="B459" s="13">
        <v>750</v>
      </c>
      <c r="C459" s="8">
        <v>99321.48599999999</v>
      </c>
    </row>
    <row r="460" spans="1:3" ht="32" x14ac:dyDescent="0.2">
      <c r="A460" s="10" t="s">
        <v>668</v>
      </c>
      <c r="B460" s="13">
        <v>750</v>
      </c>
      <c r="C460" s="8">
        <v>109777.5</v>
      </c>
    </row>
    <row r="461" spans="1:3" ht="32" x14ac:dyDescent="0.2">
      <c r="A461" s="10" t="s">
        <v>669</v>
      </c>
      <c r="B461" s="13">
        <v>750</v>
      </c>
      <c r="C461" s="8">
        <v>11070</v>
      </c>
    </row>
    <row r="462" spans="1:3" ht="16" x14ac:dyDescent="0.2">
      <c r="A462" s="10" t="s">
        <v>670</v>
      </c>
      <c r="B462" s="13">
        <v>750</v>
      </c>
      <c r="C462" s="8">
        <v>8709.119999999999</v>
      </c>
    </row>
    <row r="463" spans="1:3" ht="16" x14ac:dyDescent="0.2">
      <c r="A463" s="10" t="s">
        <v>671</v>
      </c>
      <c r="B463" s="13">
        <v>750</v>
      </c>
      <c r="C463" s="8">
        <v>41005.440000000002</v>
      </c>
    </row>
    <row r="464" spans="1:3" ht="48" x14ac:dyDescent="0.2">
      <c r="A464" s="10" t="s">
        <v>672</v>
      </c>
      <c r="B464" s="13">
        <v>750</v>
      </c>
      <c r="C464" s="8">
        <v>49714.559999999998</v>
      </c>
    </row>
    <row r="465" spans="1:3" ht="32" x14ac:dyDescent="0.2">
      <c r="A465" s="10" t="s">
        <v>744</v>
      </c>
      <c r="B465" s="13">
        <v>750</v>
      </c>
      <c r="C465" s="8">
        <v>4670.15625</v>
      </c>
    </row>
    <row r="466" spans="1:3" ht="32" x14ac:dyDescent="0.2">
      <c r="A466" s="10" t="s">
        <v>745</v>
      </c>
      <c r="B466" s="13">
        <v>750</v>
      </c>
      <c r="C466" s="8">
        <v>4203.1406249999991</v>
      </c>
    </row>
    <row r="467" spans="1:3" ht="32" x14ac:dyDescent="0.2">
      <c r="A467" s="10" t="s">
        <v>746</v>
      </c>
      <c r="B467" s="13">
        <v>750</v>
      </c>
      <c r="C467" s="8">
        <v>6974.0999999999985</v>
      </c>
    </row>
    <row r="468" spans="1:3" ht="32" x14ac:dyDescent="0.2">
      <c r="A468" s="10" t="s">
        <v>747</v>
      </c>
      <c r="B468" s="13">
        <v>750</v>
      </c>
      <c r="C468" s="8">
        <v>5733.9140625</v>
      </c>
    </row>
    <row r="469" spans="1:3" ht="32" x14ac:dyDescent="0.2">
      <c r="A469" s="10" t="s">
        <v>748</v>
      </c>
      <c r="B469" s="13">
        <v>750</v>
      </c>
      <c r="C469" s="8">
        <v>7394.4140625</v>
      </c>
    </row>
    <row r="470" spans="1:3" ht="32" x14ac:dyDescent="0.2">
      <c r="A470" s="10" t="s">
        <v>749</v>
      </c>
      <c r="B470" s="13">
        <v>750</v>
      </c>
      <c r="C470" s="8">
        <v>210.24360000000001</v>
      </c>
    </row>
    <row r="471" spans="1:3" ht="32" x14ac:dyDescent="0.2">
      <c r="A471" s="10" t="s">
        <v>759</v>
      </c>
      <c r="B471" s="13">
        <v>750</v>
      </c>
      <c r="C471" s="8">
        <v>461.25</v>
      </c>
    </row>
    <row r="472" spans="1:3" ht="32" x14ac:dyDescent="0.2">
      <c r="A472" s="10" t="s">
        <v>760</v>
      </c>
      <c r="B472" s="13">
        <v>750</v>
      </c>
      <c r="C472" s="8">
        <v>4681.6875</v>
      </c>
    </row>
    <row r="473" spans="1:3" ht="32" x14ac:dyDescent="0.2">
      <c r="A473" s="10" t="s">
        <v>745</v>
      </c>
      <c r="B473" s="13">
        <v>750</v>
      </c>
      <c r="C473" s="8">
        <v>5811.7500000000009</v>
      </c>
    </row>
    <row r="474" spans="1:3" ht="32" x14ac:dyDescent="0.2">
      <c r="A474" s="10" t="s">
        <v>761</v>
      </c>
      <c r="B474" s="13">
        <v>750</v>
      </c>
      <c r="C474" s="8">
        <v>25.401600000000002</v>
      </c>
    </row>
    <row r="475" spans="1:3" ht="32" x14ac:dyDescent="0.2">
      <c r="A475" s="10" t="s">
        <v>761</v>
      </c>
      <c r="B475" s="13">
        <v>750</v>
      </c>
      <c r="C475" s="8">
        <v>25704.000000000007</v>
      </c>
    </row>
    <row r="476" spans="1:3" ht="48" x14ac:dyDescent="0.2">
      <c r="A476" s="10" t="s">
        <v>775</v>
      </c>
      <c r="B476" s="13">
        <v>750</v>
      </c>
      <c r="C476" s="8">
        <v>36969.1875</v>
      </c>
    </row>
    <row r="477" spans="1:3" ht="48" x14ac:dyDescent="0.2">
      <c r="A477" s="10" t="s">
        <v>776</v>
      </c>
      <c r="B477" s="13">
        <v>750</v>
      </c>
      <c r="C477" s="8">
        <v>4773.9375000000009</v>
      </c>
    </row>
    <row r="478" spans="1:3" ht="48" x14ac:dyDescent="0.2">
      <c r="A478" s="10" t="s">
        <v>777</v>
      </c>
      <c r="B478" s="13">
        <v>750</v>
      </c>
      <c r="C478" s="8">
        <v>17250.75</v>
      </c>
    </row>
    <row r="479" spans="1:3" ht="48" x14ac:dyDescent="0.2">
      <c r="A479" s="10" t="s">
        <v>778</v>
      </c>
      <c r="B479" s="13">
        <v>750</v>
      </c>
      <c r="C479" s="8">
        <v>5993.3671875</v>
      </c>
    </row>
    <row r="480" spans="1:3" ht="48" x14ac:dyDescent="0.2">
      <c r="A480" s="10" t="s">
        <v>779</v>
      </c>
      <c r="B480" s="13">
        <v>750</v>
      </c>
      <c r="C480" s="8">
        <v>22935.65625</v>
      </c>
    </row>
    <row r="481" spans="1:3" ht="48" x14ac:dyDescent="0.2">
      <c r="A481" s="10" t="s">
        <v>780</v>
      </c>
      <c r="B481" s="13">
        <v>750</v>
      </c>
      <c r="C481" s="8">
        <v>1522.125</v>
      </c>
    </row>
    <row r="482" spans="1:3" ht="48" x14ac:dyDescent="0.2">
      <c r="A482" s="10" t="s">
        <v>781</v>
      </c>
      <c r="B482" s="13">
        <v>750</v>
      </c>
      <c r="C482" s="8">
        <v>5396.625</v>
      </c>
    </row>
    <row r="483" spans="1:3" ht="32" x14ac:dyDescent="0.2">
      <c r="A483" s="10" t="s">
        <v>782</v>
      </c>
      <c r="B483" s="13">
        <v>750</v>
      </c>
      <c r="C483" s="8">
        <v>6.3504000000000005</v>
      </c>
    </row>
    <row r="484" spans="1:3" ht="32" x14ac:dyDescent="0.2">
      <c r="A484" s="10" t="s">
        <v>783</v>
      </c>
      <c r="B484" s="13">
        <v>750</v>
      </c>
      <c r="C484" s="8">
        <v>112.94640000000001</v>
      </c>
    </row>
    <row r="485" spans="1:3" ht="32" x14ac:dyDescent="0.2">
      <c r="A485" s="10" t="s">
        <v>784</v>
      </c>
      <c r="B485" s="13">
        <v>750</v>
      </c>
      <c r="C485" s="8">
        <v>181.66680000000002</v>
      </c>
    </row>
    <row r="486" spans="1:3" ht="32" x14ac:dyDescent="0.2">
      <c r="A486" s="10" t="s">
        <v>785</v>
      </c>
      <c r="B486" s="13">
        <v>750</v>
      </c>
      <c r="C486" s="8">
        <v>43.5456</v>
      </c>
    </row>
    <row r="487" spans="1:3" ht="48" x14ac:dyDescent="0.2">
      <c r="A487" s="10" t="s">
        <v>814</v>
      </c>
      <c r="B487" s="13">
        <v>750</v>
      </c>
      <c r="C487" s="8">
        <v>26752.500000000004</v>
      </c>
    </row>
    <row r="488" spans="1:3" ht="48" x14ac:dyDescent="0.2">
      <c r="A488" s="10" t="s">
        <v>816</v>
      </c>
      <c r="B488" s="13">
        <v>750</v>
      </c>
      <c r="C488" s="8">
        <v>31365</v>
      </c>
    </row>
    <row r="489" spans="1:3" ht="48" x14ac:dyDescent="0.2">
      <c r="A489" s="10" t="s">
        <v>819</v>
      </c>
      <c r="B489" s="13">
        <v>750</v>
      </c>
      <c r="C489" s="8">
        <v>1070.1000000000001</v>
      </c>
    </row>
    <row r="490" spans="1:3" ht="48" x14ac:dyDescent="0.2">
      <c r="A490" s="10" t="s">
        <v>820</v>
      </c>
      <c r="B490" s="13">
        <v>750</v>
      </c>
      <c r="C490" s="8">
        <v>1254.6000000000004</v>
      </c>
    </row>
    <row r="491" spans="1:3" ht="48" x14ac:dyDescent="0.2">
      <c r="A491" s="10" t="s">
        <v>830</v>
      </c>
      <c r="B491" s="13">
        <v>750</v>
      </c>
      <c r="C491" s="8">
        <v>34363.125</v>
      </c>
    </row>
    <row r="492" spans="1:3" ht="48" x14ac:dyDescent="0.2">
      <c r="A492" s="10" t="s">
        <v>832</v>
      </c>
      <c r="B492" s="13">
        <v>750</v>
      </c>
      <c r="C492" s="8">
        <v>34363.125</v>
      </c>
    </row>
    <row r="493" spans="1:3" ht="48" x14ac:dyDescent="0.2">
      <c r="A493" s="10" t="s">
        <v>833</v>
      </c>
      <c r="B493" s="13">
        <v>750</v>
      </c>
      <c r="C493" s="8">
        <v>59040</v>
      </c>
    </row>
    <row r="494" spans="1:3" ht="48" x14ac:dyDescent="0.2">
      <c r="A494" s="10" t="s">
        <v>834</v>
      </c>
      <c r="B494" s="13">
        <v>750</v>
      </c>
      <c r="C494" s="8">
        <v>11070.000000000002</v>
      </c>
    </row>
    <row r="495" spans="1:3" ht="48" x14ac:dyDescent="0.2">
      <c r="A495" s="10" t="s">
        <v>833</v>
      </c>
      <c r="B495" s="13">
        <v>750</v>
      </c>
      <c r="C495" s="8">
        <v>47970</v>
      </c>
    </row>
    <row r="496" spans="1:3" ht="48" x14ac:dyDescent="0.2">
      <c r="A496" s="10" t="s">
        <v>835</v>
      </c>
      <c r="B496" s="13">
        <v>750</v>
      </c>
      <c r="C496" s="8">
        <v>20525.625</v>
      </c>
    </row>
    <row r="497" spans="1:3" ht="32" x14ac:dyDescent="0.2">
      <c r="A497" s="10" t="s">
        <v>837</v>
      </c>
      <c r="B497" s="13">
        <v>750</v>
      </c>
      <c r="C497" s="8">
        <v>11217.600000000002</v>
      </c>
    </row>
    <row r="498" spans="1:3" ht="32" x14ac:dyDescent="0.2">
      <c r="A498" s="10" t="s">
        <v>838</v>
      </c>
      <c r="B498" s="13">
        <v>750</v>
      </c>
      <c r="C498" s="8">
        <v>10996.2</v>
      </c>
    </row>
    <row r="499" spans="1:3" ht="48" x14ac:dyDescent="0.2">
      <c r="A499" s="10" t="s">
        <v>839</v>
      </c>
      <c r="B499" s="13">
        <v>750</v>
      </c>
      <c r="C499" s="8">
        <v>10996.2</v>
      </c>
    </row>
    <row r="500" spans="1:3" ht="48" x14ac:dyDescent="0.2">
      <c r="A500" s="10" t="s">
        <v>840</v>
      </c>
      <c r="B500" s="13">
        <v>750</v>
      </c>
      <c r="C500" s="8">
        <v>3284.1000000000004</v>
      </c>
    </row>
    <row r="501" spans="1:3" x14ac:dyDescent="0.2">
      <c r="A501" s="10"/>
      <c r="B501" s="13"/>
    </row>
    <row r="502" spans="1:3" x14ac:dyDescent="0.2">
      <c r="A502" s="10"/>
      <c r="B502" s="13"/>
    </row>
    <row r="503" spans="1:3" x14ac:dyDescent="0.2">
      <c r="A503" s="10"/>
      <c r="B503" s="13"/>
    </row>
    <row r="504" spans="1:3" x14ac:dyDescent="0.2">
      <c r="A504" s="10"/>
      <c r="B504" s="13"/>
    </row>
    <row r="505" spans="1:3" x14ac:dyDescent="0.2">
      <c r="A505" s="10"/>
      <c r="B505" s="13"/>
    </row>
    <row r="506" spans="1:3" x14ac:dyDescent="0.2">
      <c r="A506" s="10"/>
      <c r="B506" s="13"/>
    </row>
    <row r="507" spans="1:3" x14ac:dyDescent="0.2">
      <c r="A507" s="10"/>
      <c r="B507" s="13"/>
    </row>
    <row r="508" spans="1:3" x14ac:dyDescent="0.2">
      <c r="A508" s="10"/>
      <c r="B508" s="13"/>
    </row>
    <row r="509" spans="1:3" x14ac:dyDescent="0.2">
      <c r="A509" s="10"/>
      <c r="B509" s="13"/>
    </row>
  </sheetData>
  <sortState xmlns:xlrd2="http://schemas.microsoft.com/office/spreadsheetml/2017/richdata2" ref="A3:C509">
    <sortCondition ref="B3"/>
  </sortState>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F7DD1-9C21-5E44-8FF5-2C0AA8D58326}">
  <dimension ref="A1:Y852"/>
  <sheetViews>
    <sheetView tabSelected="1" zoomScale="75" zoomScaleNormal="100" workbookViewId="0">
      <pane ySplit="1" topLeftCell="A2" activePane="bottomLeft" state="frozen"/>
      <selection pane="bottomLeft" sqref="A1:XFD1048576"/>
    </sheetView>
  </sheetViews>
  <sheetFormatPr baseColWidth="10" defaultRowHeight="15" x14ac:dyDescent="0.2"/>
  <cols>
    <col min="1" max="1" width="2.83203125" style="2" bestFit="1" customWidth="1"/>
    <col min="2" max="2" width="45.6640625" style="32" customWidth="1"/>
    <col min="3" max="3" width="6" style="8" bestFit="1" customWidth="1"/>
    <col min="4" max="4" width="6.1640625" style="16" bestFit="1" customWidth="1"/>
    <col min="5" max="5" width="10.1640625" style="12" bestFit="1" customWidth="1"/>
    <col min="6" max="6" width="11.1640625" style="12" bestFit="1" customWidth="1"/>
    <col min="7" max="7" width="9" style="8" customWidth="1"/>
    <col min="8" max="9" width="8.83203125" style="8"/>
    <col min="10" max="10" width="10" style="55" customWidth="1"/>
    <col min="11" max="11" width="6.5" style="8" customWidth="1"/>
    <col min="12" max="12" width="13.5" style="8" customWidth="1"/>
    <col min="13" max="16384" width="10.83203125" style="8"/>
  </cols>
  <sheetData>
    <row r="1" spans="1:24" ht="16" x14ac:dyDescent="0.2">
      <c r="B1" s="3" t="s">
        <v>0</v>
      </c>
      <c r="C1" s="4" t="s">
        <v>1</v>
      </c>
      <c r="D1" s="4" t="s">
        <v>2</v>
      </c>
      <c r="E1" s="5" t="s">
        <v>3</v>
      </c>
      <c r="F1" s="5" t="s">
        <v>4</v>
      </c>
      <c r="G1" s="6" t="s">
        <v>95</v>
      </c>
      <c r="H1" s="7"/>
      <c r="I1" s="7"/>
      <c r="J1" s="55" t="s">
        <v>106</v>
      </c>
      <c r="K1" s="8" t="s">
        <v>107</v>
      </c>
      <c r="L1" s="8" t="s">
        <v>111</v>
      </c>
      <c r="N1" s="8" t="s">
        <v>915</v>
      </c>
      <c r="R1" s="8" t="s">
        <v>916</v>
      </c>
      <c r="V1" s="13" t="s">
        <v>109</v>
      </c>
      <c r="W1" s="13"/>
      <c r="X1" s="13"/>
    </row>
    <row r="2" spans="1:24" ht="32" x14ac:dyDescent="0.2">
      <c r="A2" s="9" t="s">
        <v>6</v>
      </c>
      <c r="B2" s="10" t="s">
        <v>32</v>
      </c>
      <c r="C2" s="8">
        <v>1</v>
      </c>
      <c r="D2" s="11" t="s">
        <v>7</v>
      </c>
      <c r="E2" s="12">
        <v>70500</v>
      </c>
      <c r="F2" s="12">
        <v>70500</v>
      </c>
      <c r="G2" s="8">
        <v>1</v>
      </c>
      <c r="H2" s="8">
        <v>1</v>
      </c>
      <c r="I2" s="8">
        <v>1</v>
      </c>
      <c r="V2" s="13"/>
      <c r="W2" s="13"/>
      <c r="X2" s="13"/>
    </row>
    <row r="3" spans="1:24" ht="16" x14ac:dyDescent="0.2">
      <c r="B3" s="3" t="s">
        <v>0</v>
      </c>
      <c r="C3" s="4" t="s">
        <v>1</v>
      </c>
      <c r="D3" s="4" t="s">
        <v>2</v>
      </c>
      <c r="E3" s="5" t="s">
        <v>3</v>
      </c>
      <c r="F3" s="5" t="s">
        <v>4</v>
      </c>
      <c r="G3" s="6" t="s">
        <v>95</v>
      </c>
      <c r="H3" s="7"/>
      <c r="I3" s="7"/>
      <c r="J3" s="55" t="s">
        <v>106</v>
      </c>
      <c r="K3" s="8" t="s">
        <v>107</v>
      </c>
      <c r="L3" s="8" t="s">
        <v>111</v>
      </c>
      <c r="V3" s="13" t="s">
        <v>109</v>
      </c>
      <c r="W3" s="13"/>
      <c r="X3" s="13"/>
    </row>
    <row r="4" spans="1:24" ht="32" x14ac:dyDescent="0.2">
      <c r="A4" s="9" t="s">
        <v>11</v>
      </c>
      <c r="B4" s="10" t="s">
        <v>147</v>
      </c>
      <c r="C4" s="8">
        <v>279</v>
      </c>
      <c r="D4" s="11" t="s">
        <v>33</v>
      </c>
      <c r="E4" s="12">
        <v>3.24</v>
      </c>
      <c r="F4" s="12">
        <v>903.96</v>
      </c>
      <c r="G4" s="8">
        <v>500</v>
      </c>
      <c r="H4" s="8">
        <v>750</v>
      </c>
      <c r="I4" s="8">
        <v>1000</v>
      </c>
      <c r="K4" s="8">
        <v>2050</v>
      </c>
      <c r="L4" s="8" t="s">
        <v>108</v>
      </c>
      <c r="N4" s="13">
        <v>2.4E-2</v>
      </c>
      <c r="O4" s="13">
        <v>2.4E-2</v>
      </c>
      <c r="P4" s="13">
        <v>2.4E-2</v>
      </c>
      <c r="R4" s="8">
        <f>K4*C4*N4</f>
        <v>13726.800000000001</v>
      </c>
      <c r="S4" s="8">
        <f>O4*K4*C4</f>
        <v>13726.800000000001</v>
      </c>
      <c r="T4" s="8">
        <f>P4*K4*C4</f>
        <v>13726.800000000001</v>
      </c>
      <c r="V4" s="13">
        <v>0.15</v>
      </c>
      <c r="W4" s="13">
        <v>0.45</v>
      </c>
      <c r="X4" s="13">
        <v>0.73</v>
      </c>
    </row>
    <row r="5" spans="1:24" ht="48" x14ac:dyDescent="0.2">
      <c r="A5" s="9" t="s">
        <v>12</v>
      </c>
      <c r="B5" s="10" t="s">
        <v>148</v>
      </c>
      <c r="C5" s="8">
        <v>140</v>
      </c>
      <c r="D5" s="11" t="s">
        <v>33</v>
      </c>
      <c r="E5" s="12">
        <v>35.65</v>
      </c>
      <c r="F5" s="12">
        <v>4991</v>
      </c>
      <c r="G5" s="8">
        <v>1</v>
      </c>
      <c r="H5" s="8">
        <v>1</v>
      </c>
      <c r="I5" s="8">
        <v>1</v>
      </c>
      <c r="K5" s="8">
        <v>2050</v>
      </c>
      <c r="L5" s="8" t="s">
        <v>108</v>
      </c>
      <c r="N5" s="13">
        <v>2.4E-2</v>
      </c>
      <c r="O5" s="13">
        <v>2.4E-2</v>
      </c>
      <c r="P5" s="13">
        <v>2.4E-2</v>
      </c>
      <c r="R5" s="8">
        <f>N5*K5*C5</f>
        <v>6888</v>
      </c>
      <c r="S5" s="8">
        <f t="shared" ref="S5:S7" si="0">O5*K5*C5</f>
        <v>6888</v>
      </c>
      <c r="T5" s="8">
        <f t="shared" ref="T5:T7" si="1">P5*K5*C5</f>
        <v>6888</v>
      </c>
      <c r="V5" s="13">
        <v>0.15</v>
      </c>
      <c r="W5" s="13">
        <v>0.45</v>
      </c>
      <c r="X5" s="13">
        <v>0.73</v>
      </c>
    </row>
    <row r="6" spans="1:24" ht="32" x14ac:dyDescent="0.2">
      <c r="A6" s="9" t="s">
        <v>13</v>
      </c>
      <c r="B6" s="10" t="s">
        <v>149</v>
      </c>
      <c r="C6" s="8">
        <v>140</v>
      </c>
      <c r="D6" s="11" t="s">
        <v>33</v>
      </c>
      <c r="E6" s="12">
        <v>6.48</v>
      </c>
      <c r="F6" s="12">
        <v>907.2</v>
      </c>
      <c r="G6" s="8">
        <v>1</v>
      </c>
      <c r="H6" s="8">
        <v>1</v>
      </c>
      <c r="I6" s="8">
        <v>1</v>
      </c>
      <c r="K6" s="8">
        <v>2050</v>
      </c>
      <c r="L6" s="8" t="s">
        <v>108</v>
      </c>
      <c r="N6" s="13">
        <v>2.4E-2</v>
      </c>
      <c r="O6" s="13">
        <v>2.4E-2</v>
      </c>
      <c r="P6" s="13">
        <v>2.4E-2</v>
      </c>
      <c r="R6" s="8">
        <f t="shared" ref="R6:R7" si="2">N6*K6*C6</f>
        <v>6888</v>
      </c>
      <c r="S6" s="8">
        <f t="shared" si="0"/>
        <v>6888</v>
      </c>
      <c r="T6" s="8">
        <f t="shared" si="1"/>
        <v>6888</v>
      </c>
      <c r="V6" s="13">
        <v>0.15</v>
      </c>
      <c r="W6" s="13">
        <v>0.45</v>
      </c>
      <c r="X6" s="13">
        <v>0.73</v>
      </c>
    </row>
    <row r="7" spans="1:24" ht="32" x14ac:dyDescent="0.2">
      <c r="A7" s="9" t="s">
        <v>14</v>
      </c>
      <c r="B7" s="10" t="s">
        <v>150</v>
      </c>
      <c r="C7" s="8">
        <v>140</v>
      </c>
      <c r="D7" s="11" t="s">
        <v>33</v>
      </c>
      <c r="E7" s="12">
        <v>8.64</v>
      </c>
      <c r="F7" s="12">
        <v>1209.5999999999999</v>
      </c>
      <c r="G7" s="8">
        <v>1</v>
      </c>
      <c r="H7" s="8">
        <v>1</v>
      </c>
      <c r="I7" s="8">
        <v>1</v>
      </c>
      <c r="K7" s="8">
        <v>2050</v>
      </c>
      <c r="L7" s="8" t="s">
        <v>108</v>
      </c>
      <c r="N7" s="13">
        <v>2.4E-2</v>
      </c>
      <c r="O7" s="13">
        <v>2.4E-2</v>
      </c>
      <c r="P7" s="13">
        <v>2.4E-2</v>
      </c>
      <c r="R7" s="8">
        <f t="shared" si="2"/>
        <v>6888</v>
      </c>
      <c r="S7" s="8">
        <f t="shared" si="0"/>
        <v>6888</v>
      </c>
      <c r="T7" s="8">
        <f t="shared" si="1"/>
        <v>6888</v>
      </c>
      <c r="V7" s="13">
        <v>0.15</v>
      </c>
      <c r="W7" s="13">
        <v>0.45</v>
      </c>
      <c r="X7" s="13">
        <v>0.73</v>
      </c>
    </row>
    <row r="8" spans="1:24" ht="16" x14ac:dyDescent="0.2">
      <c r="A8" s="9" t="s">
        <v>15</v>
      </c>
      <c r="B8" s="10" t="s">
        <v>151</v>
      </c>
      <c r="C8" s="8">
        <v>2678</v>
      </c>
      <c r="D8" s="11" t="s">
        <v>35</v>
      </c>
      <c r="E8" s="12">
        <v>0.76</v>
      </c>
      <c r="F8" s="12">
        <v>2035.28</v>
      </c>
      <c r="G8" s="8">
        <v>1</v>
      </c>
      <c r="H8" s="8">
        <v>1</v>
      </c>
      <c r="I8" s="8">
        <v>1</v>
      </c>
      <c r="J8" s="55">
        <f>C8*0.2</f>
        <v>535.6</v>
      </c>
      <c r="K8" s="8">
        <v>2050</v>
      </c>
      <c r="L8" s="8" t="s">
        <v>108</v>
      </c>
      <c r="N8" s="13">
        <v>2.4E-2</v>
      </c>
      <c r="O8" s="13">
        <v>2.4E-2</v>
      </c>
      <c r="P8" s="13">
        <v>2.4E-2</v>
      </c>
      <c r="R8" s="8">
        <f>N8*K8*J8</f>
        <v>26351.520000000004</v>
      </c>
      <c r="S8" s="8">
        <f>O8*K8*J8</f>
        <v>26351.520000000004</v>
      </c>
      <c r="T8" s="8">
        <f>P8*K8*J8</f>
        <v>26351.520000000004</v>
      </c>
      <c r="V8" s="13">
        <v>0.15</v>
      </c>
      <c r="W8" s="13">
        <v>0.45</v>
      </c>
      <c r="X8" s="13">
        <v>0.73</v>
      </c>
    </row>
    <row r="9" spans="1:24" ht="48" x14ac:dyDescent="0.2">
      <c r="A9" s="9" t="s">
        <v>17</v>
      </c>
      <c r="B9" s="10" t="s">
        <v>152</v>
      </c>
      <c r="C9" s="8">
        <v>1</v>
      </c>
      <c r="D9" s="11" t="s">
        <v>7</v>
      </c>
      <c r="E9" s="12">
        <v>199.84</v>
      </c>
      <c r="F9" s="12">
        <v>199.84</v>
      </c>
      <c r="G9" s="8">
        <v>1</v>
      </c>
      <c r="H9" s="8">
        <v>1</v>
      </c>
      <c r="I9" s="8">
        <v>1</v>
      </c>
      <c r="V9" s="13"/>
      <c r="W9" s="13"/>
      <c r="X9" s="13"/>
    </row>
    <row r="10" spans="1:24" ht="32" x14ac:dyDescent="0.2">
      <c r="A10" s="9" t="s">
        <v>6</v>
      </c>
      <c r="B10" s="10" t="s">
        <v>153</v>
      </c>
      <c r="C10" s="8">
        <v>348</v>
      </c>
      <c r="D10" s="11" t="s">
        <v>33</v>
      </c>
      <c r="E10" s="12">
        <v>6.48</v>
      </c>
      <c r="F10" s="12">
        <v>2255.04</v>
      </c>
      <c r="G10" s="8">
        <v>100</v>
      </c>
      <c r="H10" s="8">
        <v>150</v>
      </c>
      <c r="I10" s="8">
        <v>200</v>
      </c>
      <c r="K10" s="8">
        <v>2300</v>
      </c>
      <c r="L10" s="8" t="s">
        <v>79</v>
      </c>
      <c r="N10" s="13">
        <v>0.115</v>
      </c>
      <c r="O10" s="13">
        <v>0.13</v>
      </c>
      <c r="P10" s="13">
        <v>0.14000000000000001</v>
      </c>
      <c r="R10" s="8">
        <f t="shared" ref="R10:R11" si="3">N10*K10*C10</f>
        <v>92046</v>
      </c>
      <c r="S10" s="8">
        <f t="shared" ref="S10:S11" si="4">O10*K10*C10</f>
        <v>104052</v>
      </c>
      <c r="T10" s="8">
        <f t="shared" ref="T10:T11" si="5">P10*K10*C10</f>
        <v>112056.00000000001</v>
      </c>
      <c r="V10" s="13">
        <v>0.77</v>
      </c>
      <c r="W10" s="13">
        <v>0.85</v>
      </c>
      <c r="X10" s="13">
        <v>0.91</v>
      </c>
    </row>
    <row r="11" spans="1:24" ht="32" x14ac:dyDescent="0.2">
      <c r="A11" s="9" t="s">
        <v>9</v>
      </c>
      <c r="B11" s="10" t="s">
        <v>154</v>
      </c>
      <c r="C11" s="8">
        <v>2</v>
      </c>
      <c r="D11" s="11" t="s">
        <v>33</v>
      </c>
      <c r="E11" s="12">
        <v>12.96</v>
      </c>
      <c r="F11" s="12">
        <v>25.92</v>
      </c>
      <c r="G11" s="8">
        <v>100</v>
      </c>
      <c r="H11" s="8">
        <v>150</v>
      </c>
      <c r="I11" s="8">
        <v>200</v>
      </c>
      <c r="K11" s="8">
        <v>2300</v>
      </c>
      <c r="N11" s="13">
        <v>0.115</v>
      </c>
      <c r="O11" s="13">
        <v>0.13</v>
      </c>
      <c r="P11" s="13">
        <v>0.14000000000000001</v>
      </c>
      <c r="R11" s="8">
        <f t="shared" si="3"/>
        <v>529</v>
      </c>
      <c r="S11" s="8">
        <f t="shared" si="4"/>
        <v>598</v>
      </c>
      <c r="T11" s="8">
        <f t="shared" si="5"/>
        <v>644.00000000000011</v>
      </c>
      <c r="V11" s="13">
        <v>0.77</v>
      </c>
      <c r="W11" s="13">
        <v>0.85</v>
      </c>
      <c r="X11" s="13">
        <v>0.91</v>
      </c>
    </row>
    <row r="12" spans="1:24" ht="48" x14ac:dyDescent="0.2">
      <c r="A12" s="9" t="s">
        <v>10</v>
      </c>
      <c r="B12" s="10" t="s">
        <v>155</v>
      </c>
      <c r="C12" s="8">
        <v>4</v>
      </c>
      <c r="D12" s="11" t="s">
        <v>35</v>
      </c>
      <c r="E12" s="12">
        <v>6.48</v>
      </c>
      <c r="F12" s="12">
        <v>25.92</v>
      </c>
      <c r="G12" s="56">
        <v>1</v>
      </c>
      <c r="H12" s="8">
        <v>1</v>
      </c>
      <c r="I12" s="8">
        <v>1</v>
      </c>
      <c r="K12" s="8">
        <v>2050</v>
      </c>
      <c r="L12" s="8" t="s">
        <v>108</v>
      </c>
      <c r="N12" s="13">
        <v>2.4E-2</v>
      </c>
      <c r="O12" s="13">
        <v>2.4E-2</v>
      </c>
      <c r="P12" s="13">
        <v>2.4E-2</v>
      </c>
      <c r="V12" s="13">
        <v>0.15</v>
      </c>
      <c r="W12" s="13">
        <v>0.45</v>
      </c>
      <c r="X12" s="13">
        <v>0.73</v>
      </c>
    </row>
    <row r="13" spans="1:24" ht="48" x14ac:dyDescent="0.2">
      <c r="A13" s="9" t="s">
        <v>11</v>
      </c>
      <c r="B13" s="10" t="s">
        <v>156</v>
      </c>
      <c r="C13" s="8">
        <v>980</v>
      </c>
      <c r="D13" s="11" t="s">
        <v>35</v>
      </c>
      <c r="E13" s="12">
        <v>4.32</v>
      </c>
      <c r="F13" s="12">
        <v>4233.6000000000004</v>
      </c>
      <c r="G13" s="8">
        <v>1</v>
      </c>
      <c r="H13" s="8">
        <v>1</v>
      </c>
      <c r="I13" s="8">
        <v>1</v>
      </c>
      <c r="K13" s="8">
        <v>2050</v>
      </c>
      <c r="L13" s="8" t="s">
        <v>108</v>
      </c>
      <c r="N13" s="13">
        <v>2.4E-2</v>
      </c>
      <c r="O13" s="13">
        <v>2.4E-2</v>
      </c>
      <c r="P13" s="13">
        <v>2.4E-2</v>
      </c>
      <c r="S13" s="8">
        <f>O13*K13*C13</f>
        <v>48216</v>
      </c>
      <c r="V13" s="13">
        <v>0.15</v>
      </c>
      <c r="W13" s="13">
        <v>0.45</v>
      </c>
      <c r="X13" s="13">
        <v>0.73</v>
      </c>
    </row>
    <row r="14" spans="1:24" ht="96" x14ac:dyDescent="0.2">
      <c r="A14" s="9" t="s">
        <v>12</v>
      </c>
      <c r="B14" s="10" t="s">
        <v>157</v>
      </c>
      <c r="C14" s="8">
        <v>980</v>
      </c>
      <c r="D14" s="11" t="s">
        <v>35</v>
      </c>
      <c r="E14" s="12">
        <v>3.24</v>
      </c>
      <c r="F14" s="12">
        <v>3175.2</v>
      </c>
      <c r="G14" s="8">
        <v>100</v>
      </c>
      <c r="H14" s="8">
        <v>300</v>
      </c>
      <c r="I14" s="8">
        <v>500</v>
      </c>
      <c r="J14" s="55">
        <v>980</v>
      </c>
      <c r="K14" s="8">
        <v>2240</v>
      </c>
      <c r="L14" s="8" t="s">
        <v>115</v>
      </c>
      <c r="N14" s="13">
        <v>5.1000000000000004E-3</v>
      </c>
      <c r="O14" s="13">
        <v>5.1000000000000004E-3</v>
      </c>
      <c r="P14" s="13">
        <v>5.1000000000000004E-3</v>
      </c>
      <c r="R14" s="8">
        <f>N14*K14*J14</f>
        <v>11195.52</v>
      </c>
      <c r="S14" s="8">
        <f>O14*K14*J14</f>
        <v>11195.52</v>
      </c>
      <c r="T14" s="8">
        <f>P14*K14*J14</f>
        <v>11195.52</v>
      </c>
      <c r="V14" s="13">
        <v>0.05</v>
      </c>
      <c r="W14" s="13">
        <v>8.0999999999999996E-3</v>
      </c>
      <c r="X14" s="13">
        <v>0.15</v>
      </c>
    </row>
    <row r="15" spans="1:24" ht="96" x14ac:dyDescent="0.2">
      <c r="A15" s="9" t="s">
        <v>13</v>
      </c>
      <c r="B15" s="10" t="s">
        <v>158</v>
      </c>
      <c r="C15" s="8">
        <v>4</v>
      </c>
      <c r="D15" s="11" t="s">
        <v>35</v>
      </c>
      <c r="E15" s="12">
        <v>5.4</v>
      </c>
      <c r="F15" s="12">
        <v>21.6</v>
      </c>
      <c r="G15" s="8">
        <v>100</v>
      </c>
      <c r="H15" s="8">
        <v>300</v>
      </c>
      <c r="I15" s="8">
        <v>500</v>
      </c>
      <c r="J15" s="55">
        <v>4</v>
      </c>
      <c r="K15" s="8">
        <v>2240</v>
      </c>
      <c r="N15" s="13">
        <v>5.1000000000000004E-3</v>
      </c>
      <c r="O15" s="13">
        <v>5.1000000000000004E-3</v>
      </c>
      <c r="P15" s="13">
        <v>5.1000000000000004E-3</v>
      </c>
      <c r="R15" s="8">
        <f>N15*K15*J15</f>
        <v>45.696000000000005</v>
      </c>
      <c r="S15" s="8">
        <f>O15*K15*J15</f>
        <v>45.696000000000005</v>
      </c>
      <c r="T15" s="8">
        <f>P15*K15*J15</f>
        <v>45.696000000000005</v>
      </c>
      <c r="V15" s="13">
        <v>0.05</v>
      </c>
      <c r="W15" s="13">
        <v>8.0999999999999996E-3</v>
      </c>
      <c r="X15" s="13">
        <v>0.15</v>
      </c>
    </row>
    <row r="16" spans="1:24" ht="48" x14ac:dyDescent="0.2">
      <c r="A16" s="9" t="s">
        <v>14</v>
      </c>
      <c r="B16" s="10" t="s">
        <v>159</v>
      </c>
      <c r="C16" s="8">
        <v>350</v>
      </c>
      <c r="D16" s="11" t="s">
        <v>33</v>
      </c>
      <c r="E16" s="12">
        <v>35.65</v>
      </c>
      <c r="F16" s="12">
        <v>12477.5</v>
      </c>
      <c r="G16" s="8">
        <v>1</v>
      </c>
      <c r="H16" s="8">
        <v>1</v>
      </c>
      <c r="I16" s="8">
        <v>1</v>
      </c>
      <c r="K16" s="8">
        <v>2050</v>
      </c>
      <c r="L16" s="8" t="s">
        <v>108</v>
      </c>
      <c r="N16" s="13">
        <v>2.4E-2</v>
      </c>
      <c r="O16" s="13">
        <v>2.4E-2</v>
      </c>
      <c r="P16" s="13">
        <v>2.4E-2</v>
      </c>
      <c r="R16" s="8">
        <f t="shared" ref="R16" si="6">N16*K16*C16</f>
        <v>17220</v>
      </c>
      <c r="S16" s="8">
        <f t="shared" ref="S16" si="7">O16*K16*C16</f>
        <v>17220</v>
      </c>
      <c r="T16" s="8">
        <f t="shared" ref="T16" si="8">P16*K16*C16</f>
        <v>17220</v>
      </c>
      <c r="V16" s="13">
        <v>0.15</v>
      </c>
      <c r="W16" s="13">
        <v>0.45</v>
      </c>
      <c r="X16" s="13">
        <v>0.73</v>
      </c>
    </row>
    <row r="17" spans="1:24" ht="16" x14ac:dyDescent="0.2">
      <c r="A17" s="9" t="s">
        <v>15</v>
      </c>
      <c r="B17" s="10" t="s">
        <v>151</v>
      </c>
      <c r="C17" s="8">
        <v>668</v>
      </c>
      <c r="D17" s="11" t="s">
        <v>35</v>
      </c>
      <c r="E17" s="12">
        <v>0.76</v>
      </c>
      <c r="F17" s="12">
        <v>507.68</v>
      </c>
      <c r="G17" s="8">
        <v>1</v>
      </c>
      <c r="H17" s="8">
        <v>1</v>
      </c>
      <c r="I17" s="8">
        <v>1</v>
      </c>
      <c r="J17" s="55">
        <f>C17*0.2</f>
        <v>133.6</v>
      </c>
      <c r="K17" s="8">
        <v>2050</v>
      </c>
      <c r="L17" s="8" t="s">
        <v>108</v>
      </c>
      <c r="N17" s="13">
        <v>2.4E-2</v>
      </c>
      <c r="O17" s="13">
        <v>2.4E-2</v>
      </c>
      <c r="P17" s="13">
        <v>2.4E-2</v>
      </c>
      <c r="R17" s="8">
        <f>N17*K17*J17</f>
        <v>6573.12</v>
      </c>
      <c r="S17" s="8">
        <f>O17*K17*J17</f>
        <v>6573.12</v>
      </c>
      <c r="T17" s="8">
        <f>P17*K17*J17</f>
        <v>6573.12</v>
      </c>
      <c r="V17" s="13">
        <v>0.15</v>
      </c>
      <c r="W17" s="13">
        <v>0.45</v>
      </c>
      <c r="X17" s="13">
        <v>0.73</v>
      </c>
    </row>
    <row r="18" spans="1:24" ht="16" x14ac:dyDescent="0.2">
      <c r="A18" s="9" t="s">
        <v>16</v>
      </c>
      <c r="B18" s="10" t="s">
        <v>160</v>
      </c>
      <c r="C18" s="8">
        <v>433</v>
      </c>
      <c r="D18" s="11" t="s">
        <v>35</v>
      </c>
      <c r="E18" s="12">
        <v>0.76</v>
      </c>
      <c r="F18" s="12">
        <v>329.08</v>
      </c>
      <c r="G18" s="8">
        <v>1</v>
      </c>
      <c r="H18" s="8">
        <v>1</v>
      </c>
      <c r="I18" s="8">
        <v>1</v>
      </c>
      <c r="J18" s="55">
        <f>C18*0.2</f>
        <v>86.600000000000009</v>
      </c>
      <c r="K18" s="8">
        <v>2050</v>
      </c>
      <c r="L18" s="8" t="s">
        <v>108</v>
      </c>
      <c r="N18" s="13">
        <v>2.4E-2</v>
      </c>
      <c r="O18" s="13">
        <v>2.4E-2</v>
      </c>
      <c r="P18" s="13">
        <v>2.4E-2</v>
      </c>
      <c r="R18" s="8">
        <f>N18*K18*J18</f>
        <v>4260.72</v>
      </c>
      <c r="S18" s="8">
        <f>O18*K18*J18</f>
        <v>4260.72</v>
      </c>
      <c r="T18" s="8">
        <f>P18*K18*J18</f>
        <v>4260.72</v>
      </c>
      <c r="V18" s="13">
        <v>0.15</v>
      </c>
      <c r="W18" s="13">
        <v>0.45</v>
      </c>
      <c r="X18" s="13">
        <v>0.73</v>
      </c>
    </row>
    <row r="19" spans="1:24" ht="128" x14ac:dyDescent="0.2">
      <c r="A19" s="9" t="s">
        <v>17</v>
      </c>
      <c r="B19" s="10" t="s">
        <v>161</v>
      </c>
      <c r="C19" s="8">
        <v>117</v>
      </c>
      <c r="D19" s="11" t="s">
        <v>36</v>
      </c>
      <c r="E19" s="12">
        <v>834.44</v>
      </c>
      <c r="F19" s="12">
        <v>97629.48</v>
      </c>
      <c r="G19" s="8">
        <v>500</v>
      </c>
      <c r="H19" s="8">
        <v>750</v>
      </c>
      <c r="I19" s="8">
        <v>1000</v>
      </c>
      <c r="J19" s="55">
        <f>0.3^2*3.14*C19*12</f>
        <v>396.7704</v>
      </c>
      <c r="K19" s="8">
        <v>2300</v>
      </c>
      <c r="N19" s="13">
        <v>0.115</v>
      </c>
      <c r="O19" s="13">
        <v>0.13</v>
      </c>
      <c r="P19" s="13">
        <v>0.14000000000000001</v>
      </c>
      <c r="R19" s="8">
        <f t="shared" ref="R19:R20" si="9">N19*K19*J19</f>
        <v>104945.7708</v>
      </c>
      <c r="S19" s="8">
        <f t="shared" ref="S19:S20" si="10">O19*K19*J19</f>
        <v>118634.3496</v>
      </c>
      <c r="T19" s="8">
        <f t="shared" ref="T19:T20" si="11">P19*K19*J19</f>
        <v>127760.06880000002</v>
      </c>
      <c r="V19" s="13">
        <v>0.77</v>
      </c>
      <c r="W19" s="13">
        <v>0.85</v>
      </c>
      <c r="X19" s="13">
        <v>0.91</v>
      </c>
    </row>
    <row r="20" spans="1:24" ht="64" x14ac:dyDescent="0.2">
      <c r="A20" s="9" t="s">
        <v>10</v>
      </c>
      <c r="B20" s="10" t="s">
        <v>162</v>
      </c>
      <c r="C20" s="8">
        <v>117</v>
      </c>
      <c r="D20" s="11" t="s">
        <v>36</v>
      </c>
      <c r="E20" s="12">
        <v>19.440000000000001</v>
      </c>
      <c r="F20" s="12">
        <v>2274.48</v>
      </c>
      <c r="G20" s="8">
        <v>1</v>
      </c>
      <c r="H20" s="8">
        <v>1</v>
      </c>
      <c r="I20" s="8">
        <v>1</v>
      </c>
      <c r="J20" s="55">
        <f>0.3^2*3.14*0.075*C20</f>
        <v>2.4798150000000003</v>
      </c>
      <c r="K20" s="8">
        <v>2300</v>
      </c>
      <c r="N20" s="13">
        <v>0.115</v>
      </c>
      <c r="O20" s="13">
        <v>0.13</v>
      </c>
      <c r="P20" s="13">
        <v>0.14000000000000001</v>
      </c>
      <c r="R20" s="8">
        <f t="shared" si="9"/>
        <v>655.91106750000006</v>
      </c>
      <c r="S20" s="8">
        <f t="shared" si="10"/>
        <v>741.46468500000015</v>
      </c>
      <c r="T20" s="8">
        <f t="shared" si="11"/>
        <v>798.50043000000028</v>
      </c>
      <c r="V20" s="13">
        <v>0.77</v>
      </c>
      <c r="W20" s="13">
        <v>0.85</v>
      </c>
      <c r="X20" s="13">
        <v>0.91</v>
      </c>
    </row>
    <row r="21" spans="1:24" ht="48" x14ac:dyDescent="0.2">
      <c r="A21" s="9" t="s">
        <v>11</v>
      </c>
      <c r="B21" s="10" t="s">
        <v>163</v>
      </c>
      <c r="C21" s="8">
        <v>99</v>
      </c>
      <c r="D21" s="11" t="s">
        <v>33</v>
      </c>
      <c r="E21" s="12">
        <v>35.65</v>
      </c>
      <c r="F21" s="12">
        <v>3529.35</v>
      </c>
      <c r="G21" s="8">
        <v>1</v>
      </c>
      <c r="H21" s="8">
        <v>1</v>
      </c>
      <c r="I21" s="8">
        <v>1</v>
      </c>
      <c r="K21" s="8">
        <v>2050</v>
      </c>
      <c r="L21" s="8" t="s">
        <v>108</v>
      </c>
      <c r="N21" s="13">
        <v>2.4E-2</v>
      </c>
      <c r="O21" s="13">
        <v>2.4E-2</v>
      </c>
      <c r="P21" s="13">
        <v>2.4E-2</v>
      </c>
      <c r="R21" s="8">
        <f>N21*K21*C21</f>
        <v>4870.8</v>
      </c>
      <c r="S21" s="8">
        <f>O21*K21*C21</f>
        <v>4870.8</v>
      </c>
      <c r="T21" s="8">
        <f>P21*K21*C21</f>
        <v>4870.8</v>
      </c>
      <c r="V21" s="13">
        <v>0.15</v>
      </c>
      <c r="W21" s="13">
        <v>0.45</v>
      </c>
      <c r="X21" s="13">
        <v>0.73</v>
      </c>
    </row>
    <row r="22" spans="1:24" ht="224" x14ac:dyDescent="0.2">
      <c r="A22" s="9" t="s">
        <v>14</v>
      </c>
      <c r="B22" s="10" t="s">
        <v>164</v>
      </c>
      <c r="C22" s="8">
        <v>1117</v>
      </c>
      <c r="D22" s="11" t="s">
        <v>35</v>
      </c>
      <c r="E22" s="12">
        <v>34.57</v>
      </c>
      <c r="F22" s="12">
        <v>38614.69</v>
      </c>
      <c r="G22" s="8">
        <v>1</v>
      </c>
      <c r="H22" s="8">
        <v>1</v>
      </c>
      <c r="I22" s="8">
        <v>1</v>
      </c>
      <c r="J22" s="55">
        <f>C22*0.6</f>
        <v>670.19999999999993</v>
      </c>
      <c r="K22" s="8">
        <v>2240</v>
      </c>
      <c r="L22" s="8" t="s">
        <v>115</v>
      </c>
      <c r="N22" s="13">
        <v>5.1000000000000004E-3</v>
      </c>
      <c r="O22" s="13">
        <v>5.1000000000000004E-3</v>
      </c>
      <c r="P22" s="13">
        <v>5.1000000000000004E-3</v>
      </c>
      <c r="R22" s="8">
        <f>N22*K22*J22</f>
        <v>7656.3648000000003</v>
      </c>
      <c r="S22" s="8">
        <f>O22*K22*J22</f>
        <v>7656.3648000000003</v>
      </c>
      <c r="T22" s="8">
        <f>P22*K22*J22</f>
        <v>7656.3648000000003</v>
      </c>
      <c r="V22" s="13">
        <v>0.05</v>
      </c>
      <c r="W22" s="13">
        <v>8.0999999999999996E-3</v>
      </c>
      <c r="X22" s="13">
        <v>0.51</v>
      </c>
    </row>
    <row r="23" spans="1:24" ht="64" x14ac:dyDescent="0.2">
      <c r="A23" s="9" t="s">
        <v>6</v>
      </c>
      <c r="B23" s="10" t="s">
        <v>165</v>
      </c>
      <c r="C23" s="8">
        <v>1117</v>
      </c>
      <c r="D23" s="11" t="s">
        <v>35</v>
      </c>
      <c r="E23" s="12">
        <v>22.69</v>
      </c>
      <c r="F23" s="12">
        <v>25344.73</v>
      </c>
      <c r="G23" s="8">
        <v>1</v>
      </c>
      <c r="H23" s="8">
        <v>1</v>
      </c>
      <c r="I23" s="8">
        <v>1</v>
      </c>
      <c r="V23" s="13"/>
      <c r="W23" s="13"/>
      <c r="X23" s="13"/>
    </row>
    <row r="24" spans="1:24" ht="32" x14ac:dyDescent="0.2">
      <c r="A24" s="9" t="s">
        <v>9</v>
      </c>
      <c r="B24" s="10" t="s">
        <v>166</v>
      </c>
      <c r="C24" s="8">
        <v>1</v>
      </c>
      <c r="D24" s="11" t="s">
        <v>7</v>
      </c>
      <c r="E24" s="12">
        <v>297.07</v>
      </c>
      <c r="F24" s="12">
        <v>297.07</v>
      </c>
      <c r="G24" s="8">
        <v>1</v>
      </c>
      <c r="H24" s="8">
        <v>1</v>
      </c>
      <c r="I24" s="8">
        <v>1</v>
      </c>
      <c r="V24" s="13"/>
      <c r="W24" s="13"/>
      <c r="X24" s="13"/>
    </row>
    <row r="25" spans="1:24" ht="32" x14ac:dyDescent="0.2">
      <c r="A25" s="9" t="s">
        <v>10</v>
      </c>
      <c r="B25" s="10" t="s">
        <v>167</v>
      </c>
      <c r="C25" s="8">
        <v>1</v>
      </c>
      <c r="D25" s="11" t="s">
        <v>7</v>
      </c>
      <c r="E25" s="12">
        <v>297.07</v>
      </c>
      <c r="F25" s="12">
        <v>297.07</v>
      </c>
      <c r="G25" s="8">
        <v>1</v>
      </c>
      <c r="H25" s="8">
        <v>1</v>
      </c>
      <c r="I25" s="8">
        <v>1</v>
      </c>
      <c r="V25" s="13"/>
      <c r="W25" s="13"/>
      <c r="X25" s="13"/>
    </row>
    <row r="26" spans="1:24" ht="32" x14ac:dyDescent="0.2">
      <c r="A26" s="9" t="s">
        <v>11</v>
      </c>
      <c r="B26" s="10" t="s">
        <v>168</v>
      </c>
      <c r="C26" s="8">
        <v>11</v>
      </c>
      <c r="D26" s="11" t="s">
        <v>33</v>
      </c>
      <c r="E26" s="12">
        <v>149.07</v>
      </c>
      <c r="F26" s="12">
        <v>1639.77</v>
      </c>
      <c r="G26" s="8">
        <v>100</v>
      </c>
      <c r="H26" s="8">
        <v>150</v>
      </c>
      <c r="I26" s="8">
        <v>200</v>
      </c>
      <c r="K26" s="8">
        <v>1760</v>
      </c>
      <c r="L26" s="8" t="s">
        <v>120</v>
      </c>
      <c r="N26" s="8">
        <v>8.2000000000000003E-2</v>
      </c>
      <c r="O26" s="8">
        <v>9.4E-2</v>
      </c>
      <c r="P26" s="8">
        <v>0.104</v>
      </c>
      <c r="R26" s="8">
        <f>N26*K26*C26</f>
        <v>1587.52</v>
      </c>
      <c r="S26" s="8">
        <f>O26*K26*C26</f>
        <v>1819.84</v>
      </c>
      <c r="T26" s="8">
        <f>P26*K26*C26</f>
        <v>2013.4399999999998</v>
      </c>
      <c r="V26" s="13">
        <v>0.59</v>
      </c>
      <c r="W26" s="13">
        <v>0.65</v>
      </c>
      <c r="X26" s="13">
        <v>0.7</v>
      </c>
    </row>
    <row r="27" spans="1:24" ht="16" x14ac:dyDescent="0.2">
      <c r="A27" s="9" t="s">
        <v>12</v>
      </c>
      <c r="B27" s="10" t="s">
        <v>169</v>
      </c>
      <c r="C27" s="8">
        <v>27</v>
      </c>
      <c r="D27" s="11" t="s">
        <v>33</v>
      </c>
      <c r="E27" s="12">
        <v>149.07</v>
      </c>
      <c r="F27" s="12">
        <v>4024.89</v>
      </c>
      <c r="G27" s="8">
        <v>100</v>
      </c>
      <c r="H27" s="8">
        <v>150</v>
      </c>
      <c r="I27" s="8">
        <v>200</v>
      </c>
      <c r="K27" s="8">
        <v>1040</v>
      </c>
      <c r="L27" s="8" t="s">
        <v>121</v>
      </c>
      <c r="N27" s="8">
        <v>8.2000000000000003E-2</v>
      </c>
      <c r="O27" s="8">
        <v>9.4E-2</v>
      </c>
      <c r="P27" s="8">
        <v>0.104</v>
      </c>
      <c r="R27" s="8">
        <f>N27*K27*C27</f>
        <v>2302.56</v>
      </c>
      <c r="S27" s="8">
        <f>O27*K27*C27</f>
        <v>2639.52</v>
      </c>
      <c r="T27" s="8">
        <f>P27*K27*C27</f>
        <v>2920.3199999999997</v>
      </c>
      <c r="V27" s="13">
        <v>0.59</v>
      </c>
      <c r="W27" s="13">
        <v>0.65</v>
      </c>
      <c r="X27" s="13">
        <v>0.7</v>
      </c>
    </row>
    <row r="28" spans="1:24" ht="16" x14ac:dyDescent="0.2">
      <c r="A28" s="9" t="s">
        <v>13</v>
      </c>
      <c r="B28" s="10" t="s">
        <v>170</v>
      </c>
      <c r="C28" s="8">
        <v>2</v>
      </c>
      <c r="D28" s="11" t="s">
        <v>33</v>
      </c>
      <c r="E28" s="12">
        <v>156.63999999999999</v>
      </c>
      <c r="F28" s="12">
        <v>313.27999999999997</v>
      </c>
      <c r="G28" s="8">
        <v>100</v>
      </c>
      <c r="H28" s="8">
        <v>150</v>
      </c>
      <c r="I28" s="8">
        <v>200</v>
      </c>
      <c r="K28" s="8">
        <v>1900</v>
      </c>
      <c r="L28" s="8" t="s">
        <v>122</v>
      </c>
      <c r="N28" s="8">
        <v>7.0000000000000007E-2</v>
      </c>
      <c r="O28" s="8">
        <v>9.6000000000000002E-2</v>
      </c>
      <c r="P28" s="8">
        <v>0.123</v>
      </c>
      <c r="R28" s="8">
        <f>N28*K28*C28</f>
        <v>266</v>
      </c>
      <c r="S28" s="8">
        <f>O28*K28*C28</f>
        <v>364.8</v>
      </c>
      <c r="T28" s="8">
        <f>P28*K28*C28</f>
        <v>467.4</v>
      </c>
      <c r="V28" s="13">
        <v>0.68</v>
      </c>
      <c r="W28" s="13">
        <v>0.75</v>
      </c>
      <c r="X28" s="13">
        <v>0.81</v>
      </c>
    </row>
    <row r="29" spans="1:24" ht="32" x14ac:dyDescent="0.2">
      <c r="A29" s="9" t="s">
        <v>14</v>
      </c>
      <c r="B29" s="10" t="s">
        <v>171</v>
      </c>
      <c r="C29" s="8">
        <v>228</v>
      </c>
      <c r="D29" s="11" t="s">
        <v>33</v>
      </c>
      <c r="E29" s="12">
        <v>182.56</v>
      </c>
      <c r="F29" s="12">
        <v>41623.68</v>
      </c>
      <c r="G29" s="8">
        <v>100</v>
      </c>
      <c r="H29" s="8">
        <v>150</v>
      </c>
      <c r="I29" s="8">
        <v>200</v>
      </c>
      <c r="K29" s="8">
        <v>2300</v>
      </c>
      <c r="L29" s="8" t="s">
        <v>123</v>
      </c>
      <c r="N29" s="8">
        <v>8.1000000000000003E-2</v>
      </c>
      <c r="O29" s="8">
        <v>0.111</v>
      </c>
      <c r="P29" s="8">
        <v>0.14000000000000001</v>
      </c>
      <c r="R29" s="8">
        <f>N29*K29*C29</f>
        <v>42476.4</v>
      </c>
      <c r="S29" s="8">
        <f>O29*K29*C29</f>
        <v>58208.4</v>
      </c>
      <c r="T29" s="8">
        <f>P29*K29*C29</f>
        <v>73416.000000000015</v>
      </c>
      <c r="V29" s="13">
        <v>0.77</v>
      </c>
      <c r="W29" s="13">
        <v>0.85</v>
      </c>
      <c r="X29" s="13">
        <v>0.91</v>
      </c>
    </row>
    <row r="30" spans="1:24" ht="16" x14ac:dyDescent="0.2">
      <c r="A30" s="9" t="s">
        <v>15</v>
      </c>
      <c r="B30" s="10" t="s">
        <v>172</v>
      </c>
      <c r="C30" s="8">
        <v>1</v>
      </c>
      <c r="D30" s="11" t="s">
        <v>33</v>
      </c>
      <c r="E30" s="12">
        <v>182.56</v>
      </c>
      <c r="F30" s="12">
        <v>182.56</v>
      </c>
      <c r="G30" s="8">
        <v>100</v>
      </c>
      <c r="H30" s="8">
        <v>150</v>
      </c>
      <c r="I30" s="8">
        <v>200</v>
      </c>
      <c r="K30" s="8">
        <v>1760</v>
      </c>
      <c r="L30" s="8" t="s">
        <v>124</v>
      </c>
      <c r="N30" s="8">
        <v>8.2000000000000003E-2</v>
      </c>
      <c r="O30" s="8">
        <v>9.4E-2</v>
      </c>
      <c r="P30" s="8">
        <v>0.104</v>
      </c>
      <c r="R30" s="8">
        <f>N30*K30*C30</f>
        <v>144.32</v>
      </c>
      <c r="S30" s="8">
        <f>O30*K30*C30</f>
        <v>165.44</v>
      </c>
      <c r="T30" s="8">
        <f>P30*K30*C30</f>
        <v>183.04</v>
      </c>
      <c r="V30" s="13">
        <v>0.59</v>
      </c>
      <c r="W30" s="13">
        <v>0.65</v>
      </c>
      <c r="X30" s="13">
        <v>0.7</v>
      </c>
    </row>
    <row r="31" spans="1:24" ht="48" x14ac:dyDescent="0.2">
      <c r="A31" s="9" t="s">
        <v>17</v>
      </c>
      <c r="B31" s="10" t="s">
        <v>173</v>
      </c>
      <c r="C31" s="8">
        <v>8</v>
      </c>
      <c r="D31" s="11" t="s">
        <v>34</v>
      </c>
      <c r="E31" s="12">
        <v>23.77</v>
      </c>
      <c r="F31" s="12">
        <v>190.16</v>
      </c>
      <c r="G31" s="8">
        <v>47</v>
      </c>
      <c r="H31" s="8">
        <v>70</v>
      </c>
      <c r="I31" s="8">
        <v>110</v>
      </c>
      <c r="J31" s="55">
        <f>C31*0.25*0.05</f>
        <v>0.1</v>
      </c>
      <c r="K31" s="8">
        <v>480</v>
      </c>
      <c r="L31" s="8" t="s">
        <v>131</v>
      </c>
      <c r="N31" s="8">
        <v>0.72</v>
      </c>
      <c r="O31" s="8">
        <v>0.72</v>
      </c>
      <c r="P31" s="8">
        <v>0.72</v>
      </c>
      <c r="R31" s="8">
        <f>N31*K31*J31</f>
        <v>34.559999999999995</v>
      </c>
      <c r="S31" s="8">
        <f>O31*K31*J31</f>
        <v>34.559999999999995</v>
      </c>
      <c r="T31" s="8">
        <f>P31*K31*J31</f>
        <v>34.559999999999995</v>
      </c>
      <c r="V31" s="13">
        <v>0.72</v>
      </c>
      <c r="W31" s="13">
        <v>7.11</v>
      </c>
      <c r="X31" s="13">
        <v>21.3</v>
      </c>
    </row>
    <row r="32" spans="1:24" ht="48" x14ac:dyDescent="0.2">
      <c r="A32" s="9" t="s">
        <v>18</v>
      </c>
      <c r="B32" s="10" t="s">
        <v>174</v>
      </c>
      <c r="C32" s="8">
        <v>1202</v>
      </c>
      <c r="D32" s="11" t="s">
        <v>34</v>
      </c>
      <c r="E32" s="12">
        <v>30.25</v>
      </c>
      <c r="F32" s="12">
        <v>36360.5</v>
      </c>
      <c r="G32" s="8">
        <v>47</v>
      </c>
      <c r="H32" s="8">
        <v>70</v>
      </c>
      <c r="I32" s="8">
        <v>110</v>
      </c>
      <c r="J32" s="55">
        <f>C32*0.75*0.1</f>
        <v>90.15</v>
      </c>
      <c r="K32" s="8">
        <v>480</v>
      </c>
      <c r="L32" s="8" t="s">
        <v>130</v>
      </c>
      <c r="N32" s="8">
        <v>0.72</v>
      </c>
      <c r="O32" s="8">
        <v>0.72</v>
      </c>
      <c r="P32" s="8">
        <v>0.72</v>
      </c>
      <c r="R32" s="8">
        <f>N32*K32*J32</f>
        <v>31155.84</v>
      </c>
      <c r="S32" s="8">
        <f>O32*K32*J32</f>
        <v>31155.84</v>
      </c>
      <c r="T32" s="8">
        <f>P32*K32*J32</f>
        <v>31155.84</v>
      </c>
      <c r="V32" s="13">
        <v>0.72</v>
      </c>
      <c r="W32" s="13">
        <v>7.11</v>
      </c>
      <c r="X32" s="13">
        <v>21.3</v>
      </c>
    </row>
    <row r="33" spans="1:24" ht="32" x14ac:dyDescent="0.2">
      <c r="A33" s="9" t="s">
        <v>6</v>
      </c>
      <c r="B33" s="10" t="s">
        <v>175</v>
      </c>
      <c r="C33" s="8">
        <v>134</v>
      </c>
      <c r="D33" s="11" t="s">
        <v>34</v>
      </c>
      <c r="E33" s="12">
        <v>20.52</v>
      </c>
      <c r="F33" s="12">
        <v>2749.68</v>
      </c>
      <c r="G33" s="8">
        <v>64</v>
      </c>
      <c r="H33" s="8">
        <v>108</v>
      </c>
      <c r="I33" s="8">
        <v>178</v>
      </c>
      <c r="J33" s="55">
        <f>C33*0.05*0.75</f>
        <v>5.0250000000000004</v>
      </c>
      <c r="K33" s="8">
        <v>21.5</v>
      </c>
      <c r="L33" s="8" t="s">
        <v>926</v>
      </c>
      <c r="N33" s="8">
        <v>3.29</v>
      </c>
      <c r="O33" s="8">
        <v>3.29</v>
      </c>
      <c r="P33" s="8">
        <v>3.29</v>
      </c>
      <c r="R33" s="8">
        <f>N33*K33*J33</f>
        <v>355.443375</v>
      </c>
      <c r="S33" s="8">
        <f>O33*K33*J33</f>
        <v>355.443375</v>
      </c>
      <c r="T33" s="8">
        <f>P33*K33*J33</f>
        <v>355.443375</v>
      </c>
      <c r="V33" s="13">
        <v>62.02</v>
      </c>
      <c r="W33" s="13">
        <v>88.6</v>
      </c>
      <c r="X33" s="13">
        <v>115.18</v>
      </c>
    </row>
    <row r="34" spans="1:24" ht="32" x14ac:dyDescent="0.2">
      <c r="A34" s="9" t="s">
        <v>9</v>
      </c>
      <c r="B34" s="10" t="s">
        <v>176</v>
      </c>
      <c r="C34" s="8">
        <v>79</v>
      </c>
      <c r="D34" s="11" t="s">
        <v>35</v>
      </c>
      <c r="E34" s="12">
        <v>16.2</v>
      </c>
      <c r="F34" s="12">
        <v>1279.8</v>
      </c>
      <c r="G34" s="8">
        <v>500</v>
      </c>
      <c r="H34" s="8">
        <v>750</v>
      </c>
      <c r="I34" s="8">
        <v>1000</v>
      </c>
      <c r="J34" s="55">
        <f>C34*0.66</f>
        <v>52.14</v>
      </c>
      <c r="K34" s="8">
        <v>21.5</v>
      </c>
      <c r="L34" s="8" t="s">
        <v>926</v>
      </c>
      <c r="N34" s="8">
        <v>3.29</v>
      </c>
      <c r="O34" s="8">
        <v>3.29</v>
      </c>
      <c r="P34" s="8">
        <v>3.29</v>
      </c>
      <c r="R34" s="8">
        <f>N34*J34*K34</f>
        <v>3688.1229000000003</v>
      </c>
      <c r="S34" s="8">
        <f>O34*K34*J34</f>
        <v>3688.1228999999998</v>
      </c>
      <c r="T34" s="8">
        <f>P34*K34*J34</f>
        <v>3688.1228999999998</v>
      </c>
      <c r="V34" s="13">
        <v>62.02</v>
      </c>
      <c r="W34" s="13">
        <v>88.6</v>
      </c>
      <c r="X34" s="13">
        <v>115.18</v>
      </c>
    </row>
    <row r="35" spans="1:24" ht="48" x14ac:dyDescent="0.2">
      <c r="A35" s="9" t="s">
        <v>10</v>
      </c>
      <c r="B35" s="10" t="s">
        <v>177</v>
      </c>
      <c r="C35" s="8">
        <v>3.83</v>
      </c>
      <c r="D35" s="11" t="s">
        <v>27</v>
      </c>
      <c r="E35" s="12">
        <v>1593.36</v>
      </c>
      <c r="F35" s="12">
        <v>6102.57</v>
      </c>
      <c r="G35" s="8">
        <v>47</v>
      </c>
      <c r="H35" s="8">
        <v>60</v>
      </c>
      <c r="I35" s="8">
        <v>100</v>
      </c>
      <c r="J35" s="55" t="s">
        <v>917</v>
      </c>
      <c r="N35" s="8">
        <v>0.45</v>
      </c>
      <c r="O35" s="8">
        <v>1.4</v>
      </c>
      <c r="P35" s="8">
        <v>2.77</v>
      </c>
      <c r="R35" s="8">
        <f>N35*C35*1000</f>
        <v>1723.5</v>
      </c>
      <c r="S35" s="8">
        <f>O35*C35*1000</f>
        <v>5362</v>
      </c>
      <c r="T35" s="8">
        <f>P35*C35*1000</f>
        <v>10609.1</v>
      </c>
      <c r="V35" s="13">
        <v>12.18</v>
      </c>
      <c r="W35" s="13">
        <v>17.399999999999999</v>
      </c>
      <c r="X35" s="13">
        <v>22.62</v>
      </c>
    </row>
    <row r="36" spans="1:24" ht="48" x14ac:dyDescent="0.2">
      <c r="A36" s="9" t="s">
        <v>11</v>
      </c>
      <c r="B36" s="10" t="s">
        <v>178</v>
      </c>
      <c r="C36" s="8">
        <v>0.55000000000000004</v>
      </c>
      <c r="D36" s="11" t="s">
        <v>27</v>
      </c>
      <c r="E36" s="12">
        <v>1636.57</v>
      </c>
      <c r="F36" s="12">
        <v>900.11</v>
      </c>
      <c r="G36" s="8">
        <v>47</v>
      </c>
      <c r="H36" s="8">
        <v>60</v>
      </c>
      <c r="I36" s="8">
        <v>100</v>
      </c>
      <c r="N36" s="8">
        <v>0.45</v>
      </c>
      <c r="O36" s="8">
        <v>1.4</v>
      </c>
      <c r="P36" s="8">
        <v>2.77</v>
      </c>
      <c r="R36" s="8">
        <f t="shared" ref="R36:R39" si="12">N36*C36*1000</f>
        <v>247.50000000000003</v>
      </c>
      <c r="S36" s="8">
        <f t="shared" ref="S36:S39" si="13">O36*C36*1000</f>
        <v>770</v>
      </c>
      <c r="T36" s="8">
        <f t="shared" ref="T36:T39" si="14">P36*C36*1000</f>
        <v>1523.5</v>
      </c>
      <c r="V36" s="13">
        <v>12.18</v>
      </c>
      <c r="W36" s="13">
        <v>17.399999999999999</v>
      </c>
      <c r="X36" s="13">
        <v>22.62</v>
      </c>
    </row>
    <row r="37" spans="1:24" ht="48" x14ac:dyDescent="0.2">
      <c r="A37" s="9" t="s">
        <v>12</v>
      </c>
      <c r="B37" s="10" t="s">
        <v>179</v>
      </c>
      <c r="C37" s="8">
        <v>3.28</v>
      </c>
      <c r="D37" s="11" t="s">
        <v>27</v>
      </c>
      <c r="E37" s="12">
        <v>1712.18</v>
      </c>
      <c r="F37" s="12">
        <v>5615.95</v>
      </c>
      <c r="G37" s="8">
        <v>47</v>
      </c>
      <c r="H37" s="8">
        <v>60</v>
      </c>
      <c r="I37" s="8">
        <v>100</v>
      </c>
      <c r="N37" s="8">
        <v>0.45</v>
      </c>
      <c r="O37" s="8">
        <v>1.4</v>
      </c>
      <c r="P37" s="8">
        <v>2.77</v>
      </c>
      <c r="R37" s="8">
        <f t="shared" si="12"/>
        <v>1476</v>
      </c>
      <c r="S37" s="8">
        <f t="shared" si="13"/>
        <v>4592</v>
      </c>
      <c r="T37" s="8">
        <f t="shared" si="14"/>
        <v>9085.5999999999985</v>
      </c>
      <c r="V37" s="13">
        <v>12.18</v>
      </c>
      <c r="W37" s="13">
        <v>17.399999999999999</v>
      </c>
      <c r="X37" s="13">
        <v>22.62</v>
      </c>
    </row>
    <row r="38" spans="1:24" ht="48" x14ac:dyDescent="0.2">
      <c r="A38" s="9" t="s">
        <v>13</v>
      </c>
      <c r="B38" s="10" t="s">
        <v>180</v>
      </c>
      <c r="C38" s="8">
        <v>4.95</v>
      </c>
      <c r="D38" s="11" t="s">
        <v>27</v>
      </c>
      <c r="E38" s="12">
        <v>1795.36</v>
      </c>
      <c r="F38" s="12">
        <v>8887.0300000000007</v>
      </c>
      <c r="G38" s="8">
        <v>47</v>
      </c>
      <c r="H38" s="8">
        <v>60</v>
      </c>
      <c r="I38" s="8">
        <v>100</v>
      </c>
      <c r="N38" s="8">
        <v>0.45</v>
      </c>
      <c r="O38" s="8">
        <v>1.4</v>
      </c>
      <c r="P38" s="8">
        <v>2.77</v>
      </c>
      <c r="R38" s="8">
        <f t="shared" si="12"/>
        <v>2227.5</v>
      </c>
      <c r="S38" s="8">
        <f t="shared" si="13"/>
        <v>6930</v>
      </c>
      <c r="T38" s="8">
        <f t="shared" si="14"/>
        <v>13711.5</v>
      </c>
      <c r="V38" s="13">
        <v>12.18</v>
      </c>
      <c r="W38" s="13">
        <v>17.399999999999999</v>
      </c>
      <c r="X38" s="13">
        <v>22.62</v>
      </c>
    </row>
    <row r="39" spans="1:24" ht="48" x14ac:dyDescent="0.2">
      <c r="A39" s="9" t="s">
        <v>14</v>
      </c>
      <c r="B39" s="10" t="s">
        <v>181</v>
      </c>
      <c r="C39" s="8">
        <v>4.66</v>
      </c>
      <c r="D39" s="11" t="s">
        <v>27</v>
      </c>
      <c r="E39" s="12">
        <v>1847.21</v>
      </c>
      <c r="F39" s="12">
        <v>8608</v>
      </c>
      <c r="G39" s="8">
        <v>47</v>
      </c>
      <c r="H39" s="8">
        <v>60</v>
      </c>
      <c r="I39" s="8">
        <v>100</v>
      </c>
      <c r="N39" s="8">
        <v>0.45</v>
      </c>
      <c r="O39" s="8">
        <v>1.4</v>
      </c>
      <c r="P39" s="8">
        <v>2.77</v>
      </c>
      <c r="R39" s="8">
        <f t="shared" si="12"/>
        <v>2097</v>
      </c>
      <c r="S39" s="8">
        <f t="shared" si="13"/>
        <v>6524</v>
      </c>
      <c r="T39" s="8">
        <f t="shared" si="14"/>
        <v>12908.2</v>
      </c>
      <c r="V39" s="13">
        <v>12.18</v>
      </c>
      <c r="W39" s="13">
        <v>17.399999999999999</v>
      </c>
      <c r="X39" s="13">
        <v>22.62</v>
      </c>
    </row>
    <row r="40" spans="1:24" ht="32" x14ac:dyDescent="0.2">
      <c r="A40" s="9" t="s">
        <v>15</v>
      </c>
      <c r="B40" s="10" t="s">
        <v>182</v>
      </c>
      <c r="C40" s="8">
        <v>3</v>
      </c>
      <c r="D40" s="11" t="s">
        <v>35</v>
      </c>
      <c r="E40" s="12">
        <v>10.8</v>
      </c>
      <c r="F40" s="12">
        <v>32.4</v>
      </c>
      <c r="G40" s="8">
        <v>1</v>
      </c>
      <c r="H40" s="8">
        <v>1</v>
      </c>
      <c r="I40" s="8">
        <v>1</v>
      </c>
      <c r="J40" s="55">
        <f>C40*0.2</f>
        <v>0.60000000000000009</v>
      </c>
      <c r="K40" s="8">
        <v>2100</v>
      </c>
      <c r="L40" s="8" t="s">
        <v>128</v>
      </c>
      <c r="N40" s="8">
        <v>0.74</v>
      </c>
      <c r="O40" s="8">
        <v>0.74</v>
      </c>
      <c r="P40" s="8">
        <v>0.74</v>
      </c>
      <c r="R40" s="8">
        <f>N40*J40*K40</f>
        <v>932.40000000000009</v>
      </c>
      <c r="S40" s="8">
        <f>O40*J40*K40</f>
        <v>932.40000000000009</v>
      </c>
      <c r="T40" s="8">
        <f>P40*J40*K40</f>
        <v>932.40000000000009</v>
      </c>
      <c r="V40" s="13">
        <v>3.157</v>
      </c>
      <c r="W40" s="13">
        <v>4.51</v>
      </c>
      <c r="X40" s="13">
        <v>5.8630000000000004</v>
      </c>
    </row>
    <row r="41" spans="1:24" ht="80" x14ac:dyDescent="0.2">
      <c r="A41" s="9" t="s">
        <v>17</v>
      </c>
      <c r="B41" s="10" t="s">
        <v>183</v>
      </c>
      <c r="C41" s="8">
        <v>671</v>
      </c>
      <c r="D41" s="11" t="s">
        <v>35</v>
      </c>
      <c r="E41" s="12">
        <v>69</v>
      </c>
      <c r="F41" s="12">
        <v>46299</v>
      </c>
      <c r="G41" s="8">
        <v>47</v>
      </c>
      <c r="H41" s="8">
        <v>72</v>
      </c>
      <c r="I41" s="8">
        <v>100</v>
      </c>
      <c r="J41" s="55">
        <f>C41*0.15</f>
        <v>100.64999999999999</v>
      </c>
      <c r="K41" s="8">
        <v>2200</v>
      </c>
      <c r="L41" s="8" t="s">
        <v>133</v>
      </c>
      <c r="N41" s="8">
        <v>0.224</v>
      </c>
      <c r="O41" s="8">
        <v>0.224</v>
      </c>
      <c r="P41" s="8">
        <v>0.224</v>
      </c>
      <c r="R41" s="8">
        <f>N41*J41*K41</f>
        <v>49600.32</v>
      </c>
      <c r="S41" s="8">
        <f>O41*J41*K41</f>
        <v>49600.32</v>
      </c>
      <c r="T41" s="8">
        <f>P41*J41*K41</f>
        <v>49600.32</v>
      </c>
      <c r="V41" s="13">
        <v>1.2</v>
      </c>
      <c r="W41" s="13">
        <v>2.1800000000000002</v>
      </c>
      <c r="X41" s="13">
        <v>3.8</v>
      </c>
    </row>
    <row r="42" spans="1:24" ht="80" x14ac:dyDescent="0.2">
      <c r="A42" s="9" t="s">
        <v>18</v>
      </c>
      <c r="B42" s="10" t="s">
        <v>184</v>
      </c>
      <c r="C42" s="8">
        <v>52</v>
      </c>
      <c r="D42" s="11" t="s">
        <v>36</v>
      </c>
      <c r="E42" s="12">
        <v>5</v>
      </c>
      <c r="F42" s="12">
        <v>260</v>
      </c>
      <c r="G42" s="8">
        <v>500</v>
      </c>
      <c r="H42" s="8">
        <v>750</v>
      </c>
      <c r="I42" s="8">
        <v>1000</v>
      </c>
      <c r="K42" s="8">
        <v>2200</v>
      </c>
      <c r="V42" s="13">
        <v>1.2</v>
      </c>
      <c r="W42" s="13">
        <v>2.1800000000000002</v>
      </c>
      <c r="X42" s="13">
        <v>3.8</v>
      </c>
    </row>
    <row r="43" spans="1:24" ht="80" x14ac:dyDescent="0.2">
      <c r="A43" s="9" t="s">
        <v>19</v>
      </c>
      <c r="B43" s="10" t="s">
        <v>185</v>
      </c>
      <c r="C43" s="8">
        <v>6</v>
      </c>
      <c r="D43" s="11" t="s">
        <v>36</v>
      </c>
      <c r="E43" s="12">
        <v>100</v>
      </c>
      <c r="F43" s="12">
        <v>600</v>
      </c>
      <c r="G43" s="8">
        <v>500</v>
      </c>
      <c r="H43" s="8">
        <v>750</v>
      </c>
      <c r="I43" s="8">
        <v>1000</v>
      </c>
      <c r="V43" s="13"/>
      <c r="W43" s="13"/>
      <c r="X43" s="13"/>
    </row>
    <row r="44" spans="1:24" ht="80" x14ac:dyDescent="0.2">
      <c r="A44" s="9" t="s">
        <v>20</v>
      </c>
      <c r="B44" s="10" t="s">
        <v>186</v>
      </c>
      <c r="C44" s="8">
        <v>1</v>
      </c>
      <c r="D44" s="11" t="s">
        <v>36</v>
      </c>
      <c r="E44" s="12">
        <v>100</v>
      </c>
      <c r="F44" s="12">
        <v>100</v>
      </c>
      <c r="G44" s="8">
        <v>500</v>
      </c>
      <c r="H44" s="8">
        <v>750</v>
      </c>
      <c r="I44" s="8">
        <v>1000</v>
      </c>
      <c r="V44" s="13"/>
      <c r="W44" s="13"/>
      <c r="X44" s="13"/>
    </row>
    <row r="45" spans="1:24" ht="48" x14ac:dyDescent="0.2">
      <c r="A45" s="9" t="s">
        <v>6</v>
      </c>
      <c r="B45" s="10" t="s">
        <v>187</v>
      </c>
      <c r="C45" s="8">
        <v>415</v>
      </c>
      <c r="D45" s="11" t="s">
        <v>35</v>
      </c>
      <c r="E45" s="12">
        <v>22.8</v>
      </c>
      <c r="F45" s="12">
        <v>9462</v>
      </c>
      <c r="G45" s="8">
        <v>52</v>
      </c>
      <c r="H45" s="8">
        <v>72</v>
      </c>
      <c r="I45" s="8">
        <v>101</v>
      </c>
      <c r="J45" s="55">
        <f>C45*0.1</f>
        <v>41.5</v>
      </c>
      <c r="K45" s="8">
        <v>2200</v>
      </c>
      <c r="N45" s="8">
        <f>O45*0.7</f>
        <v>7.4899999999999994E-2</v>
      </c>
      <c r="O45" s="8">
        <v>0.107</v>
      </c>
      <c r="P45" s="8">
        <f>O45*1.3</f>
        <v>0.1391</v>
      </c>
      <c r="R45" s="8">
        <f>N45*K45*J45</f>
        <v>6838.37</v>
      </c>
      <c r="S45" s="8">
        <f>O45*K45*J45</f>
        <v>9769.1</v>
      </c>
      <c r="T45" s="8">
        <f>P45*K45*J45</f>
        <v>12699.83</v>
      </c>
      <c r="V45" s="13">
        <v>0.52500000000000002</v>
      </c>
      <c r="W45" s="13">
        <v>0.75</v>
      </c>
      <c r="X45" s="13">
        <v>0.97499999999999998</v>
      </c>
    </row>
    <row r="46" spans="1:24" ht="64" x14ac:dyDescent="0.2">
      <c r="A46" s="9" t="s">
        <v>9</v>
      </c>
      <c r="B46" s="10" t="s">
        <v>188</v>
      </c>
      <c r="C46" s="8">
        <v>76</v>
      </c>
      <c r="D46" s="11" t="s">
        <v>35</v>
      </c>
      <c r="E46" s="12">
        <v>45.58</v>
      </c>
      <c r="F46" s="12">
        <v>3464.08</v>
      </c>
      <c r="G46" s="8">
        <v>52</v>
      </c>
      <c r="H46" s="8">
        <v>72</v>
      </c>
      <c r="I46" s="8">
        <v>101</v>
      </c>
      <c r="J46" s="55">
        <f>C46*0.215</f>
        <v>16.34</v>
      </c>
      <c r="K46" s="8">
        <v>2200</v>
      </c>
      <c r="N46" s="8">
        <f>O46*0.7</f>
        <v>7.4899999999999994E-2</v>
      </c>
      <c r="O46" s="8">
        <v>0.107</v>
      </c>
      <c r="P46" s="8">
        <f>O46*1.3</f>
        <v>0.1391</v>
      </c>
      <c r="R46" s="8">
        <f t="shared" ref="R46:R47" si="15">N46*K46*J46</f>
        <v>2692.5052000000001</v>
      </c>
      <c r="S46" s="8">
        <f t="shared" ref="S46:S47" si="16">O46*K46*J46</f>
        <v>3846.4360000000001</v>
      </c>
      <c r="T46" s="8">
        <f t="shared" ref="T46:T47" si="17">P46*K46*J46</f>
        <v>5000.3667999999998</v>
      </c>
      <c r="V46" s="13">
        <v>0.52500000000000002</v>
      </c>
      <c r="W46" s="13">
        <v>0.75</v>
      </c>
      <c r="X46" s="13">
        <v>0.97499999999999998</v>
      </c>
    </row>
    <row r="47" spans="1:24" ht="64" x14ac:dyDescent="0.2">
      <c r="A47" s="9" t="s">
        <v>10</v>
      </c>
      <c r="B47" s="10" t="s">
        <v>189</v>
      </c>
      <c r="C47" s="8">
        <v>2</v>
      </c>
      <c r="D47" s="11" t="s">
        <v>35</v>
      </c>
      <c r="E47" s="12">
        <v>45.58</v>
      </c>
      <c r="F47" s="12">
        <v>91.16</v>
      </c>
      <c r="G47" s="8">
        <v>52</v>
      </c>
      <c r="H47" s="8">
        <v>72</v>
      </c>
      <c r="I47" s="8">
        <v>101</v>
      </c>
      <c r="J47" s="55">
        <f>C47*0.215</f>
        <v>0.43</v>
      </c>
      <c r="K47" s="8">
        <v>2200</v>
      </c>
      <c r="N47" s="8">
        <f>O47*0.7</f>
        <v>7.4899999999999994E-2</v>
      </c>
      <c r="O47" s="8">
        <v>0.107</v>
      </c>
      <c r="P47" s="8">
        <f>O47*1.3</f>
        <v>0.1391</v>
      </c>
      <c r="R47" s="8">
        <f t="shared" si="15"/>
        <v>70.855400000000003</v>
      </c>
      <c r="S47" s="8">
        <f t="shared" si="16"/>
        <v>101.22199999999999</v>
      </c>
      <c r="T47" s="8">
        <f t="shared" si="17"/>
        <v>131.58859999999999</v>
      </c>
      <c r="V47" s="13">
        <v>0.52500000000000002</v>
      </c>
      <c r="W47" s="13">
        <v>0.75</v>
      </c>
      <c r="X47" s="13">
        <v>0.97499999999999998</v>
      </c>
    </row>
    <row r="48" spans="1:24" ht="64" x14ac:dyDescent="0.2">
      <c r="A48" s="9" t="s">
        <v>11</v>
      </c>
      <c r="B48" s="10" t="s">
        <v>190</v>
      </c>
      <c r="C48" s="8">
        <v>619</v>
      </c>
      <c r="D48" s="11" t="s">
        <v>34</v>
      </c>
      <c r="E48" s="12">
        <v>5</v>
      </c>
      <c r="F48" s="12">
        <v>3095</v>
      </c>
      <c r="G48" s="8">
        <v>52</v>
      </c>
      <c r="H48" s="8">
        <v>72</v>
      </c>
      <c r="I48" s="8">
        <v>101</v>
      </c>
      <c r="V48" s="13"/>
      <c r="W48" s="13"/>
      <c r="X48" s="13"/>
    </row>
    <row r="49" spans="1:24" ht="64" x14ac:dyDescent="0.2">
      <c r="A49" s="9" t="s">
        <v>12</v>
      </c>
      <c r="B49" s="10" t="s">
        <v>191</v>
      </c>
      <c r="C49" s="8">
        <v>113</v>
      </c>
      <c r="D49" s="11" t="s">
        <v>34</v>
      </c>
      <c r="E49" s="12">
        <v>10</v>
      </c>
      <c r="F49" s="12">
        <v>1130</v>
      </c>
      <c r="G49" s="8">
        <v>52</v>
      </c>
      <c r="H49" s="8">
        <v>72</v>
      </c>
      <c r="I49" s="8">
        <v>101</v>
      </c>
      <c r="V49" s="13"/>
      <c r="W49" s="13"/>
      <c r="X49" s="13"/>
    </row>
    <row r="50" spans="1:24" ht="64" x14ac:dyDescent="0.2">
      <c r="A50" s="9" t="s">
        <v>13</v>
      </c>
      <c r="B50" s="10" t="s">
        <v>192</v>
      </c>
      <c r="C50" s="8">
        <v>62</v>
      </c>
      <c r="D50" s="11" t="s">
        <v>35</v>
      </c>
      <c r="E50" s="12">
        <v>72.2</v>
      </c>
      <c r="F50" s="12">
        <v>4476.3999999999996</v>
      </c>
      <c r="G50" s="8">
        <v>70</v>
      </c>
      <c r="H50" s="8">
        <v>93</v>
      </c>
      <c r="I50" s="8">
        <v>131</v>
      </c>
      <c r="J50" s="55">
        <f>C50*0.1025</f>
        <v>6.3549999999999995</v>
      </c>
      <c r="K50" s="8">
        <v>1920</v>
      </c>
      <c r="N50" s="8">
        <v>0.24</v>
      </c>
      <c r="O50" s="8">
        <v>0.24</v>
      </c>
      <c r="P50" s="8">
        <v>0.24</v>
      </c>
      <c r="R50" s="8">
        <f>N50*K50*J50</f>
        <v>2928.3839999999996</v>
      </c>
      <c r="S50" s="8">
        <f>O50*K50*J50</f>
        <v>2928.3839999999996</v>
      </c>
      <c r="T50" s="8">
        <f>P50*K50*J50</f>
        <v>2928.3839999999996</v>
      </c>
      <c r="V50" s="13">
        <v>0.63</v>
      </c>
      <c r="W50" s="13">
        <v>3</v>
      </c>
      <c r="X50" s="13">
        <v>6</v>
      </c>
    </row>
    <row r="51" spans="1:24" ht="48" x14ac:dyDescent="0.2">
      <c r="A51" s="9" t="s">
        <v>14</v>
      </c>
      <c r="B51" s="10" t="s">
        <v>193</v>
      </c>
      <c r="C51" s="8">
        <v>220</v>
      </c>
      <c r="D51" s="11" t="s">
        <v>35</v>
      </c>
      <c r="E51" s="12">
        <v>3.6</v>
      </c>
      <c r="F51" s="12">
        <v>792</v>
      </c>
      <c r="G51" s="8">
        <v>50</v>
      </c>
      <c r="H51" s="8">
        <v>75</v>
      </c>
      <c r="I51" s="8">
        <v>100</v>
      </c>
      <c r="J51" s="55">
        <f>C51*0.125</f>
        <v>27.5</v>
      </c>
      <c r="K51" s="8">
        <v>7850</v>
      </c>
      <c r="N51" s="8">
        <v>6.15</v>
      </c>
      <c r="O51" s="8">
        <v>6.15</v>
      </c>
      <c r="P51" s="8">
        <v>6.15</v>
      </c>
      <c r="R51" s="8">
        <f t="shared" ref="R51:R53" si="18">N51*K51*J51</f>
        <v>1327631.25</v>
      </c>
      <c r="S51" s="8">
        <f t="shared" ref="S51:S53" si="19">O51*K51*J51</f>
        <v>1327631.25</v>
      </c>
      <c r="T51" s="8">
        <f t="shared" ref="T51:T53" si="20">P51*K51*J51</f>
        <v>1327631.25</v>
      </c>
      <c r="V51" s="13">
        <v>11</v>
      </c>
      <c r="W51" s="13">
        <v>56.7</v>
      </c>
      <c r="X51" s="13">
        <v>82</v>
      </c>
    </row>
    <row r="52" spans="1:24" ht="64" x14ac:dyDescent="0.2">
      <c r="A52" s="9" t="s">
        <v>15</v>
      </c>
      <c r="B52" s="10" t="s">
        <v>194</v>
      </c>
      <c r="C52" s="8">
        <v>19</v>
      </c>
      <c r="D52" s="11" t="s">
        <v>35</v>
      </c>
      <c r="E52" s="12">
        <v>11.54</v>
      </c>
      <c r="F52" s="12">
        <v>219.26</v>
      </c>
      <c r="G52" s="8">
        <v>50</v>
      </c>
      <c r="H52" s="8">
        <v>75</v>
      </c>
      <c r="I52" s="8">
        <v>100</v>
      </c>
      <c r="J52" s="55">
        <f>C52*0.1</f>
        <v>1.9000000000000001</v>
      </c>
      <c r="K52" s="8">
        <v>7850</v>
      </c>
      <c r="N52" s="8">
        <v>6.15</v>
      </c>
      <c r="O52" s="8">
        <v>6.15</v>
      </c>
      <c r="P52" s="8">
        <v>6.15</v>
      </c>
      <c r="R52" s="8">
        <f t="shared" si="18"/>
        <v>91727.25</v>
      </c>
      <c r="S52" s="8">
        <f t="shared" si="19"/>
        <v>91727.25</v>
      </c>
      <c r="T52" s="8">
        <f t="shared" si="20"/>
        <v>91727.25</v>
      </c>
      <c r="V52" s="13">
        <v>11</v>
      </c>
      <c r="W52" s="13">
        <v>56.7</v>
      </c>
      <c r="X52" s="13">
        <v>82</v>
      </c>
    </row>
    <row r="53" spans="1:24" ht="64" x14ac:dyDescent="0.2">
      <c r="A53" s="9" t="s">
        <v>16</v>
      </c>
      <c r="B53" s="10" t="s">
        <v>195</v>
      </c>
      <c r="C53" s="8">
        <v>55</v>
      </c>
      <c r="D53" s="11" t="s">
        <v>35</v>
      </c>
      <c r="E53" s="12">
        <v>16.04</v>
      </c>
      <c r="F53" s="12">
        <v>882.2</v>
      </c>
      <c r="G53" s="8">
        <v>50</v>
      </c>
      <c r="H53" s="8">
        <v>75</v>
      </c>
      <c r="I53" s="8">
        <v>100</v>
      </c>
      <c r="J53" s="55">
        <f>C53*0.125</f>
        <v>6.875</v>
      </c>
      <c r="K53" s="8">
        <v>7850</v>
      </c>
      <c r="N53" s="8">
        <v>6.15</v>
      </c>
      <c r="O53" s="8">
        <v>6.15</v>
      </c>
      <c r="P53" s="8">
        <v>6.15</v>
      </c>
      <c r="R53" s="8">
        <f t="shared" si="18"/>
        <v>331907.8125</v>
      </c>
      <c r="S53" s="8">
        <f t="shared" si="19"/>
        <v>331907.8125</v>
      </c>
      <c r="T53" s="8">
        <f t="shared" si="20"/>
        <v>331907.8125</v>
      </c>
      <c r="V53" s="13">
        <v>11</v>
      </c>
      <c r="W53" s="13">
        <v>56.7</v>
      </c>
      <c r="X53" s="13">
        <v>82</v>
      </c>
    </row>
    <row r="54" spans="1:24" ht="32" x14ac:dyDescent="0.2">
      <c r="A54" s="9" t="s">
        <v>17</v>
      </c>
      <c r="B54" s="10" t="s">
        <v>196</v>
      </c>
      <c r="C54" s="8">
        <v>87</v>
      </c>
      <c r="D54" s="11" t="s">
        <v>35</v>
      </c>
      <c r="E54" s="12">
        <v>16.45</v>
      </c>
      <c r="F54" s="12">
        <v>1431.15</v>
      </c>
      <c r="G54" s="8">
        <v>50</v>
      </c>
      <c r="H54" s="8">
        <v>75</v>
      </c>
      <c r="I54" s="8">
        <v>100</v>
      </c>
      <c r="J54" s="55">
        <f>C54*0.225</f>
        <v>19.574999999999999</v>
      </c>
      <c r="V54" s="13">
        <v>100</v>
      </c>
      <c r="W54" s="13">
        <v>134.18</v>
      </c>
      <c r="X54" s="13">
        <v>183</v>
      </c>
    </row>
    <row r="55" spans="1:24" ht="48" x14ac:dyDescent="0.2">
      <c r="A55" s="9" t="s">
        <v>6</v>
      </c>
      <c r="B55" s="10" t="s">
        <v>197</v>
      </c>
      <c r="C55" s="8">
        <v>223</v>
      </c>
      <c r="D55" s="11" t="s">
        <v>36</v>
      </c>
      <c r="E55" s="12">
        <v>16.5</v>
      </c>
      <c r="F55" s="12">
        <v>3679.5</v>
      </c>
      <c r="J55" s="55">
        <f>0.215*0.14*0.05*223</f>
        <v>0.33561500000000005</v>
      </c>
      <c r="K55" s="8">
        <v>840</v>
      </c>
      <c r="L55" s="8" t="s">
        <v>918</v>
      </c>
      <c r="N55" s="8">
        <v>0.24</v>
      </c>
      <c r="O55" s="8">
        <v>0.24</v>
      </c>
      <c r="P55" s="8">
        <v>0.24</v>
      </c>
      <c r="R55" s="8">
        <f>N55*K55*J55</f>
        <v>67.659984000000009</v>
      </c>
      <c r="S55" s="8">
        <f>O55*K55*J55</f>
        <v>67.659984000000009</v>
      </c>
      <c r="T55" s="8">
        <f>P55*K55*J55</f>
        <v>67.659984000000009</v>
      </c>
      <c r="V55" s="13">
        <v>0.63</v>
      </c>
      <c r="W55" s="13">
        <v>3</v>
      </c>
      <c r="X55" s="13">
        <v>6</v>
      </c>
    </row>
    <row r="56" spans="1:24" ht="32" x14ac:dyDescent="0.2">
      <c r="A56" s="9" t="s">
        <v>9</v>
      </c>
      <c r="B56" s="10" t="s">
        <v>198</v>
      </c>
      <c r="C56" s="8">
        <v>18</v>
      </c>
      <c r="D56" s="11" t="s">
        <v>36</v>
      </c>
      <c r="E56" s="12">
        <v>60</v>
      </c>
      <c r="F56" s="12">
        <v>1080</v>
      </c>
      <c r="G56" s="8">
        <v>50</v>
      </c>
      <c r="H56" s="8">
        <v>75</v>
      </c>
      <c r="I56" s="8">
        <v>100</v>
      </c>
      <c r="J56" s="55">
        <f>0.44*0.215*0.1*C56</f>
        <v>0.17028000000000001</v>
      </c>
      <c r="K56" s="8">
        <v>1900</v>
      </c>
      <c r="N56" s="8">
        <v>0.18</v>
      </c>
      <c r="O56" s="8">
        <v>0.18</v>
      </c>
      <c r="P56" s="8">
        <v>0.18</v>
      </c>
      <c r="R56" s="8">
        <f>N56*K56*J56</f>
        <v>58.235760000000006</v>
      </c>
      <c r="S56" s="8">
        <f>O56*K56*J56</f>
        <v>58.235760000000006</v>
      </c>
      <c r="T56" s="8">
        <f>P56*K56*J56</f>
        <v>58.235760000000006</v>
      </c>
      <c r="V56" s="13">
        <v>1.2</v>
      </c>
      <c r="W56" s="13">
        <v>2.1800000000000002</v>
      </c>
      <c r="X56" s="13">
        <v>3.8</v>
      </c>
    </row>
    <row r="57" spans="1:24" ht="32" x14ac:dyDescent="0.2">
      <c r="A57" s="9" t="s">
        <v>10</v>
      </c>
      <c r="B57" s="10" t="s">
        <v>199</v>
      </c>
      <c r="C57" s="8">
        <v>5</v>
      </c>
      <c r="D57" s="11" t="s">
        <v>36</v>
      </c>
      <c r="E57" s="12">
        <v>77.5</v>
      </c>
      <c r="F57" s="12">
        <v>387.5</v>
      </c>
      <c r="G57" s="8">
        <v>50</v>
      </c>
      <c r="H57" s="8">
        <v>75</v>
      </c>
      <c r="I57" s="8">
        <v>100</v>
      </c>
      <c r="J57" s="55">
        <f>0.6*0.215*0.1*C57</f>
        <v>6.4500000000000002E-2</v>
      </c>
      <c r="K57" s="8">
        <v>1900</v>
      </c>
      <c r="N57" s="8">
        <v>0.18</v>
      </c>
      <c r="O57" s="8">
        <v>0.18</v>
      </c>
      <c r="P57" s="8">
        <v>0.18</v>
      </c>
      <c r="R57" s="8">
        <f t="shared" ref="R57:R59" si="21">N57*K57*J57</f>
        <v>22.059000000000001</v>
      </c>
      <c r="S57" s="8">
        <f t="shared" ref="S57:S59" si="22">O57*K57*J57</f>
        <v>22.059000000000001</v>
      </c>
      <c r="T57" s="8">
        <f t="shared" ref="T57:T59" si="23">P57*K57*J57</f>
        <v>22.059000000000001</v>
      </c>
      <c r="V57" s="13">
        <v>1.2</v>
      </c>
      <c r="W57" s="13">
        <v>2.1800000000000002</v>
      </c>
      <c r="X57" s="13">
        <v>3.8</v>
      </c>
    </row>
    <row r="58" spans="1:24" ht="32" x14ac:dyDescent="0.2">
      <c r="A58" s="9" t="s">
        <v>11</v>
      </c>
      <c r="B58" s="10" t="s">
        <v>200</v>
      </c>
      <c r="C58" s="8">
        <v>3</v>
      </c>
      <c r="D58" s="11" t="s">
        <v>36</v>
      </c>
      <c r="E58" s="12">
        <v>130</v>
      </c>
      <c r="F58" s="12">
        <v>390</v>
      </c>
      <c r="G58" s="8">
        <v>50</v>
      </c>
      <c r="H58" s="8">
        <v>75</v>
      </c>
      <c r="I58" s="8">
        <v>100</v>
      </c>
      <c r="J58" s="55">
        <f>0.9*0.215*0.1*3</f>
        <v>5.8050000000000004E-2</v>
      </c>
      <c r="K58" s="8">
        <v>1900</v>
      </c>
      <c r="N58" s="8">
        <v>0.18</v>
      </c>
      <c r="O58" s="8">
        <v>0.18</v>
      </c>
      <c r="P58" s="8">
        <v>0.18</v>
      </c>
      <c r="R58" s="8">
        <f t="shared" si="21"/>
        <v>19.853100000000001</v>
      </c>
      <c r="S58" s="8">
        <f t="shared" si="22"/>
        <v>19.853100000000001</v>
      </c>
      <c r="T58" s="8">
        <f t="shared" si="23"/>
        <v>19.853100000000001</v>
      </c>
      <c r="V58" s="13">
        <v>1.2</v>
      </c>
      <c r="W58" s="13">
        <v>2.1800000000000002</v>
      </c>
      <c r="X58" s="13">
        <v>3.8</v>
      </c>
    </row>
    <row r="59" spans="1:24" ht="32" x14ac:dyDescent="0.2">
      <c r="A59" s="9" t="s">
        <v>12</v>
      </c>
      <c r="B59" s="10" t="s">
        <v>201</v>
      </c>
      <c r="C59" s="8">
        <v>3</v>
      </c>
      <c r="D59" s="11" t="s">
        <v>36</v>
      </c>
      <c r="E59" s="12">
        <v>135</v>
      </c>
      <c r="F59" s="12">
        <v>405</v>
      </c>
      <c r="G59" s="8">
        <v>50</v>
      </c>
      <c r="H59" s="8">
        <v>75</v>
      </c>
      <c r="I59" s="8">
        <v>100</v>
      </c>
      <c r="J59" s="55">
        <f>0.44*0.215*0.1*2*3</f>
        <v>5.6760000000000005E-2</v>
      </c>
      <c r="K59" s="8">
        <v>1900</v>
      </c>
      <c r="N59" s="8">
        <v>0.18</v>
      </c>
      <c r="O59" s="8">
        <v>0.18</v>
      </c>
      <c r="P59" s="8">
        <v>0.18</v>
      </c>
      <c r="R59" s="8">
        <f t="shared" si="21"/>
        <v>19.411920000000002</v>
      </c>
      <c r="S59" s="8">
        <f t="shared" si="22"/>
        <v>19.411920000000002</v>
      </c>
      <c r="T59" s="8">
        <f t="shared" si="23"/>
        <v>19.411920000000002</v>
      </c>
      <c r="V59" s="13">
        <v>1.2</v>
      </c>
      <c r="W59" s="13">
        <v>2.1800000000000002</v>
      </c>
      <c r="X59" s="13">
        <v>3.8</v>
      </c>
    </row>
    <row r="60" spans="1:24" ht="176" x14ac:dyDescent="0.2">
      <c r="A60" s="9" t="s">
        <v>13</v>
      </c>
      <c r="B60" s="10" t="s">
        <v>202</v>
      </c>
      <c r="C60" s="8">
        <v>1</v>
      </c>
      <c r="D60" s="11" t="s">
        <v>7</v>
      </c>
      <c r="E60" s="12">
        <v>35137.64</v>
      </c>
      <c r="F60" s="12">
        <v>35137.64</v>
      </c>
      <c r="G60" s="8">
        <v>50</v>
      </c>
      <c r="H60" s="8">
        <v>75</v>
      </c>
      <c r="I60" s="8">
        <v>100</v>
      </c>
      <c r="S60" s="8">
        <f>SUM(S61:S71)</f>
        <v>37843.199999999997</v>
      </c>
      <c r="V60" s="13"/>
      <c r="W60" s="13"/>
      <c r="X60" s="13"/>
    </row>
    <row r="61" spans="1:24" ht="16" x14ac:dyDescent="0.2">
      <c r="A61" s="9" t="s">
        <v>14</v>
      </c>
      <c r="B61" s="10" t="s">
        <v>203</v>
      </c>
      <c r="C61" s="8">
        <v>0.77</v>
      </c>
      <c r="D61" s="11" t="s">
        <v>27</v>
      </c>
      <c r="E61" s="14" t="s">
        <v>37</v>
      </c>
      <c r="F61" s="14" t="s">
        <v>37</v>
      </c>
      <c r="G61" s="8">
        <v>47</v>
      </c>
      <c r="H61" s="8">
        <v>70</v>
      </c>
      <c r="I61" s="8">
        <v>110</v>
      </c>
      <c r="N61" s="8">
        <v>0.47</v>
      </c>
      <c r="O61" s="8">
        <v>1.46</v>
      </c>
      <c r="P61" s="8">
        <v>2.89</v>
      </c>
      <c r="R61" s="8">
        <f>N61*C61*1000</f>
        <v>361.9</v>
      </c>
      <c r="S61" s="8">
        <f>O61*C61*1000</f>
        <v>1124.2</v>
      </c>
      <c r="T61" s="8">
        <f>P61*C61*1000</f>
        <v>2225.3000000000002</v>
      </c>
      <c r="V61" s="13">
        <v>14.07</v>
      </c>
      <c r="W61" s="13">
        <v>20.100000000000001</v>
      </c>
      <c r="X61" s="13">
        <v>26.13</v>
      </c>
    </row>
    <row r="62" spans="1:24" ht="32" x14ac:dyDescent="0.2">
      <c r="A62" s="9" t="s">
        <v>15</v>
      </c>
      <c r="B62" s="10" t="s">
        <v>204</v>
      </c>
      <c r="C62" s="8">
        <v>0.19</v>
      </c>
      <c r="D62" s="11" t="s">
        <v>27</v>
      </c>
      <c r="E62" s="14" t="s">
        <v>37</v>
      </c>
      <c r="F62" s="14" t="s">
        <v>37</v>
      </c>
      <c r="G62" s="8">
        <v>47</v>
      </c>
      <c r="H62" s="8">
        <v>70</v>
      </c>
      <c r="I62" s="8">
        <v>110</v>
      </c>
      <c r="N62" s="8">
        <v>0.47</v>
      </c>
      <c r="O62" s="8">
        <v>1.46</v>
      </c>
      <c r="P62" s="8">
        <v>2.89</v>
      </c>
      <c r="R62" s="8">
        <f t="shared" ref="R62:R71" si="24">N62*C62*1000</f>
        <v>89.3</v>
      </c>
      <c r="S62" s="8">
        <f t="shared" ref="S62:S71" si="25">O62*C62*1000</f>
        <v>277.39999999999998</v>
      </c>
      <c r="T62" s="8">
        <f t="shared" ref="T62:T71" si="26">P62*C62*1000</f>
        <v>549.1</v>
      </c>
      <c r="V62" s="13">
        <v>14.07</v>
      </c>
      <c r="W62" s="13">
        <v>20.100000000000001</v>
      </c>
      <c r="X62" s="13">
        <v>26.13</v>
      </c>
    </row>
    <row r="63" spans="1:24" ht="32" x14ac:dyDescent="0.2">
      <c r="A63" s="9" t="s">
        <v>16</v>
      </c>
      <c r="B63" s="10" t="s">
        <v>205</v>
      </c>
      <c r="C63" s="8">
        <v>0.41</v>
      </c>
      <c r="D63" s="11" t="s">
        <v>27</v>
      </c>
      <c r="E63" s="14" t="s">
        <v>37</v>
      </c>
      <c r="F63" s="14" t="s">
        <v>37</v>
      </c>
      <c r="G63" s="8">
        <v>47</v>
      </c>
      <c r="H63" s="8">
        <v>70</v>
      </c>
      <c r="I63" s="8">
        <v>110</v>
      </c>
      <c r="N63" s="8">
        <v>0.47</v>
      </c>
      <c r="O63" s="8">
        <v>1.46</v>
      </c>
      <c r="P63" s="8">
        <v>2.89</v>
      </c>
      <c r="R63" s="8">
        <f t="shared" si="24"/>
        <v>192.7</v>
      </c>
      <c r="S63" s="8">
        <f t="shared" si="25"/>
        <v>598.59999999999991</v>
      </c>
      <c r="T63" s="8">
        <f t="shared" si="26"/>
        <v>1184.9000000000001</v>
      </c>
      <c r="V63" s="13">
        <v>14.07</v>
      </c>
      <c r="W63" s="13">
        <v>20.100000000000001</v>
      </c>
      <c r="X63" s="13">
        <v>26.13</v>
      </c>
    </row>
    <row r="64" spans="1:24" ht="48" x14ac:dyDescent="0.2">
      <c r="A64" s="9" t="s">
        <v>17</v>
      </c>
      <c r="B64" s="10" t="s">
        <v>206</v>
      </c>
      <c r="C64" s="8">
        <v>0.75</v>
      </c>
      <c r="D64" s="11" t="s">
        <v>27</v>
      </c>
      <c r="E64" s="14" t="s">
        <v>37</v>
      </c>
      <c r="F64" s="14" t="s">
        <v>37</v>
      </c>
      <c r="G64" s="8">
        <v>47</v>
      </c>
      <c r="H64" s="8">
        <v>70</v>
      </c>
      <c r="I64" s="8">
        <v>110</v>
      </c>
      <c r="N64" s="8">
        <v>0.47</v>
      </c>
      <c r="O64" s="8">
        <v>1.46</v>
      </c>
      <c r="P64" s="8">
        <v>2.89</v>
      </c>
      <c r="R64" s="8">
        <f t="shared" si="24"/>
        <v>352.5</v>
      </c>
      <c r="S64" s="8">
        <f t="shared" si="25"/>
        <v>1095</v>
      </c>
      <c r="T64" s="8">
        <f t="shared" si="26"/>
        <v>2167.5</v>
      </c>
      <c r="V64" s="13">
        <v>14.07</v>
      </c>
      <c r="W64" s="13">
        <v>20.100000000000001</v>
      </c>
      <c r="X64" s="13">
        <v>26.13</v>
      </c>
    </row>
    <row r="65" spans="1:25" ht="32" x14ac:dyDescent="0.2">
      <c r="A65" s="9" t="s">
        <v>6</v>
      </c>
      <c r="B65" s="10" t="s">
        <v>207</v>
      </c>
      <c r="C65" s="8">
        <v>6.21</v>
      </c>
      <c r="D65" s="11" t="s">
        <v>27</v>
      </c>
      <c r="E65" s="14" t="s">
        <v>37</v>
      </c>
      <c r="F65" s="14" t="s">
        <v>37</v>
      </c>
      <c r="G65" s="8">
        <v>47</v>
      </c>
      <c r="H65" s="8">
        <v>70</v>
      </c>
      <c r="I65" s="8">
        <v>110</v>
      </c>
      <c r="N65" s="8">
        <v>0.47</v>
      </c>
      <c r="O65" s="8">
        <v>1.46</v>
      </c>
      <c r="P65" s="8">
        <v>2.89</v>
      </c>
      <c r="R65" s="8">
        <f t="shared" si="24"/>
        <v>2918.7</v>
      </c>
      <c r="S65" s="8">
        <f t="shared" si="25"/>
        <v>9066.5999999999985</v>
      </c>
      <c r="T65" s="8">
        <f t="shared" si="26"/>
        <v>17946.899999999998</v>
      </c>
      <c r="V65" s="13">
        <v>14.07</v>
      </c>
      <c r="W65" s="13">
        <v>20.100000000000001</v>
      </c>
      <c r="X65" s="13">
        <v>26.13</v>
      </c>
    </row>
    <row r="66" spans="1:25" ht="32" x14ac:dyDescent="0.2">
      <c r="A66" s="9" t="s">
        <v>9</v>
      </c>
      <c r="B66" s="10" t="s">
        <v>208</v>
      </c>
      <c r="C66" s="8">
        <v>0.06</v>
      </c>
      <c r="D66" s="11" t="s">
        <v>27</v>
      </c>
      <c r="E66" s="14" t="s">
        <v>37</v>
      </c>
      <c r="F66" s="14" t="s">
        <v>37</v>
      </c>
      <c r="G66" s="8">
        <v>47</v>
      </c>
      <c r="H66" s="8">
        <v>70</v>
      </c>
      <c r="I66" s="8">
        <v>110</v>
      </c>
      <c r="N66" s="8">
        <v>0.47</v>
      </c>
      <c r="O66" s="8">
        <v>1.46</v>
      </c>
      <c r="P66" s="8">
        <v>2.89</v>
      </c>
      <c r="R66" s="8">
        <f t="shared" si="24"/>
        <v>28.199999999999996</v>
      </c>
      <c r="S66" s="8">
        <f t="shared" si="25"/>
        <v>87.6</v>
      </c>
      <c r="T66" s="8">
        <f t="shared" si="26"/>
        <v>173.4</v>
      </c>
      <c r="V66" s="13">
        <v>14.07</v>
      </c>
      <c r="W66" s="13">
        <v>20.100000000000001</v>
      </c>
      <c r="X66" s="13">
        <v>26.13</v>
      </c>
    </row>
    <row r="67" spans="1:25" ht="32" x14ac:dyDescent="0.2">
      <c r="A67" s="9" t="s">
        <v>10</v>
      </c>
      <c r="B67" s="10" t="s">
        <v>209</v>
      </c>
      <c r="C67" s="8">
        <v>1.51</v>
      </c>
      <c r="D67" s="11" t="s">
        <v>27</v>
      </c>
      <c r="E67" s="14" t="s">
        <v>37</v>
      </c>
      <c r="F67" s="14" t="s">
        <v>37</v>
      </c>
      <c r="G67" s="8">
        <v>47</v>
      </c>
      <c r="H67" s="8">
        <v>70</v>
      </c>
      <c r="I67" s="8">
        <v>110</v>
      </c>
      <c r="N67" s="8">
        <v>0.47</v>
      </c>
      <c r="O67" s="8">
        <v>1.46</v>
      </c>
      <c r="P67" s="8">
        <v>2.89</v>
      </c>
      <c r="R67" s="8">
        <f t="shared" si="24"/>
        <v>709.7</v>
      </c>
      <c r="S67" s="8">
        <f t="shared" si="25"/>
        <v>2204.6</v>
      </c>
      <c r="T67" s="8">
        <f t="shared" si="26"/>
        <v>4363.9000000000005</v>
      </c>
      <c r="V67" s="13">
        <v>14.07</v>
      </c>
      <c r="W67" s="13">
        <v>20.100000000000001</v>
      </c>
      <c r="X67" s="13">
        <v>26.13</v>
      </c>
    </row>
    <row r="68" spans="1:25" ht="48" x14ac:dyDescent="0.2">
      <c r="A68" s="9" t="s">
        <v>11</v>
      </c>
      <c r="B68" s="10" t="s">
        <v>210</v>
      </c>
      <c r="C68" s="8">
        <v>0.44</v>
      </c>
      <c r="D68" s="11" t="s">
        <v>27</v>
      </c>
      <c r="E68" s="14" t="s">
        <v>37</v>
      </c>
      <c r="F68" s="14" t="s">
        <v>37</v>
      </c>
      <c r="G68" s="8">
        <v>47</v>
      </c>
      <c r="H68" s="8">
        <v>70</v>
      </c>
      <c r="I68" s="8">
        <v>110</v>
      </c>
      <c r="N68" s="8">
        <v>0.47</v>
      </c>
      <c r="O68" s="8">
        <v>1.46</v>
      </c>
      <c r="P68" s="8">
        <v>2.89</v>
      </c>
      <c r="R68" s="8">
        <f t="shared" si="24"/>
        <v>206.79999999999998</v>
      </c>
      <c r="S68" s="8">
        <f t="shared" si="25"/>
        <v>642.4</v>
      </c>
      <c r="T68" s="8">
        <f t="shared" si="26"/>
        <v>1271.6000000000001</v>
      </c>
      <c r="V68" s="13">
        <v>14.07</v>
      </c>
      <c r="W68" s="13">
        <v>20.100000000000001</v>
      </c>
      <c r="X68" s="13">
        <v>26.13</v>
      </c>
    </row>
    <row r="69" spans="1:25" ht="32" x14ac:dyDescent="0.2">
      <c r="A69" s="9" t="s">
        <v>12</v>
      </c>
      <c r="B69" s="10" t="s">
        <v>211</v>
      </c>
      <c r="C69" s="8">
        <v>0.7</v>
      </c>
      <c r="D69" s="11" t="s">
        <v>27</v>
      </c>
      <c r="E69" s="14" t="s">
        <v>37</v>
      </c>
      <c r="F69" s="14" t="s">
        <v>37</v>
      </c>
      <c r="G69" s="8">
        <v>47</v>
      </c>
      <c r="H69" s="8">
        <v>70</v>
      </c>
      <c r="I69" s="8">
        <v>110</v>
      </c>
      <c r="N69" s="8">
        <v>0.47</v>
      </c>
      <c r="O69" s="8">
        <v>1.46</v>
      </c>
      <c r="P69" s="8">
        <v>2.89</v>
      </c>
      <c r="R69" s="8">
        <f t="shared" si="24"/>
        <v>328.99999999999994</v>
      </c>
      <c r="S69" s="8">
        <f t="shared" si="25"/>
        <v>1022</v>
      </c>
      <c r="T69" s="8">
        <f t="shared" si="26"/>
        <v>2023.0000000000002</v>
      </c>
      <c r="V69" s="13">
        <v>14.07</v>
      </c>
      <c r="W69" s="13">
        <v>20.100000000000001</v>
      </c>
      <c r="X69" s="13">
        <v>26.13</v>
      </c>
    </row>
    <row r="70" spans="1:25" ht="16" x14ac:dyDescent="0.2">
      <c r="A70" s="9" t="s">
        <v>14</v>
      </c>
      <c r="B70" s="10" t="s">
        <v>212</v>
      </c>
      <c r="C70" s="8">
        <v>1.92</v>
      </c>
      <c r="D70" s="11" t="s">
        <v>27</v>
      </c>
      <c r="E70" s="14" t="s">
        <v>37</v>
      </c>
      <c r="F70" s="14" t="s">
        <v>37</v>
      </c>
      <c r="G70" s="8">
        <v>47</v>
      </c>
      <c r="H70" s="8">
        <v>70</v>
      </c>
      <c r="I70" s="8">
        <v>110</v>
      </c>
      <c r="N70" s="8">
        <v>0.47</v>
      </c>
      <c r="O70" s="8">
        <v>1.46</v>
      </c>
      <c r="P70" s="8">
        <v>2.89</v>
      </c>
      <c r="R70" s="8">
        <f t="shared" si="24"/>
        <v>902.39999999999986</v>
      </c>
      <c r="S70" s="8">
        <f t="shared" si="25"/>
        <v>2803.2</v>
      </c>
      <c r="T70" s="8">
        <f t="shared" si="26"/>
        <v>5548.8</v>
      </c>
      <c r="V70" s="13">
        <v>14.07</v>
      </c>
      <c r="W70" s="13">
        <v>20.100000000000001</v>
      </c>
      <c r="X70" s="13">
        <v>26.13</v>
      </c>
    </row>
    <row r="71" spans="1:25" ht="32" x14ac:dyDescent="0.2">
      <c r="A71" s="9" t="s">
        <v>15</v>
      </c>
      <c r="B71" s="10" t="s">
        <v>213</v>
      </c>
      <c r="C71" s="8">
        <v>12.96</v>
      </c>
      <c r="D71" s="11" t="s">
        <v>27</v>
      </c>
      <c r="E71" s="14" t="s">
        <v>37</v>
      </c>
      <c r="F71" s="14" t="s">
        <v>37</v>
      </c>
      <c r="G71" s="8">
        <v>49</v>
      </c>
      <c r="H71" s="8">
        <v>73</v>
      </c>
      <c r="I71" s="8">
        <v>113</v>
      </c>
      <c r="N71" s="8">
        <v>0.47</v>
      </c>
      <c r="O71" s="8">
        <v>1.46</v>
      </c>
      <c r="P71" s="8">
        <v>2.89</v>
      </c>
      <c r="R71" s="8">
        <f t="shared" si="24"/>
        <v>6091.2</v>
      </c>
      <c r="S71" s="8">
        <f t="shared" si="25"/>
        <v>18921.600000000002</v>
      </c>
      <c r="T71" s="8">
        <f t="shared" si="26"/>
        <v>37454.400000000009</v>
      </c>
      <c r="V71" s="13">
        <v>14.07</v>
      </c>
      <c r="W71" s="13">
        <v>20.100000000000001</v>
      </c>
      <c r="X71" s="13">
        <v>26.13</v>
      </c>
    </row>
    <row r="72" spans="1:25" ht="64" x14ac:dyDescent="0.2">
      <c r="A72" s="9" t="s">
        <v>16</v>
      </c>
      <c r="B72" s="10" t="s">
        <v>214</v>
      </c>
      <c r="C72" s="8">
        <v>1</v>
      </c>
      <c r="D72" s="11" t="s">
        <v>7</v>
      </c>
      <c r="E72" s="14" t="s">
        <v>37</v>
      </c>
      <c r="F72" s="14" t="s">
        <v>37</v>
      </c>
      <c r="G72" s="8">
        <v>83</v>
      </c>
      <c r="H72" s="8">
        <v>83</v>
      </c>
      <c r="I72" s="8">
        <v>83</v>
      </c>
      <c r="V72" s="13"/>
      <c r="W72" s="13"/>
      <c r="X72" s="13"/>
    </row>
    <row r="73" spans="1:25" ht="32" x14ac:dyDescent="0.2">
      <c r="A73" s="9" t="s">
        <v>17</v>
      </c>
      <c r="B73" s="10" t="s">
        <v>215</v>
      </c>
      <c r="C73" s="8">
        <v>1</v>
      </c>
      <c r="D73" s="11" t="s">
        <v>7</v>
      </c>
      <c r="E73" s="14" t="s">
        <v>37</v>
      </c>
      <c r="F73" s="14" t="s">
        <v>37</v>
      </c>
      <c r="V73" s="13"/>
      <c r="W73" s="13"/>
      <c r="X73" s="13"/>
    </row>
    <row r="74" spans="1:25" ht="48" x14ac:dyDescent="0.2">
      <c r="A74" s="9" t="s">
        <v>18</v>
      </c>
      <c r="B74" s="10" t="s">
        <v>216</v>
      </c>
      <c r="C74" s="8">
        <v>1</v>
      </c>
      <c r="D74" s="11" t="s">
        <v>7</v>
      </c>
      <c r="E74" s="14" t="s">
        <v>37</v>
      </c>
      <c r="F74" s="14" t="s">
        <v>37</v>
      </c>
      <c r="V74" s="13"/>
      <c r="W74" s="13"/>
      <c r="X74" s="13"/>
    </row>
    <row r="75" spans="1:25" ht="48" x14ac:dyDescent="0.2">
      <c r="A75" s="9" t="s">
        <v>19</v>
      </c>
      <c r="B75" s="10" t="s">
        <v>217</v>
      </c>
      <c r="C75" s="8">
        <v>1</v>
      </c>
      <c r="D75" s="11" t="s">
        <v>7</v>
      </c>
      <c r="E75" s="14" t="s">
        <v>37</v>
      </c>
      <c r="F75" s="14" t="s">
        <v>37</v>
      </c>
      <c r="V75" s="13"/>
      <c r="W75" s="13"/>
      <c r="X75" s="13"/>
    </row>
    <row r="76" spans="1:25" ht="48" x14ac:dyDescent="0.2">
      <c r="A76" s="9" t="s">
        <v>20</v>
      </c>
      <c r="B76" s="10" t="s">
        <v>218</v>
      </c>
      <c r="C76" s="8">
        <v>1</v>
      </c>
      <c r="D76" s="11" t="s">
        <v>7</v>
      </c>
      <c r="E76" s="14" t="s">
        <v>37</v>
      </c>
      <c r="F76" s="14" t="s">
        <v>37</v>
      </c>
      <c r="V76" s="13"/>
      <c r="W76" s="13"/>
      <c r="X76" s="13"/>
    </row>
    <row r="77" spans="1:25" ht="48" x14ac:dyDescent="0.2">
      <c r="A77" s="9" t="s">
        <v>21</v>
      </c>
      <c r="B77" s="10" t="s">
        <v>219</v>
      </c>
      <c r="C77" s="8">
        <v>2</v>
      </c>
      <c r="D77" s="11" t="s">
        <v>36</v>
      </c>
      <c r="E77" s="12">
        <v>415</v>
      </c>
      <c r="F77" s="12">
        <v>830</v>
      </c>
      <c r="G77" s="8">
        <v>50</v>
      </c>
      <c r="H77" s="8">
        <v>75</v>
      </c>
      <c r="I77" s="8">
        <v>100</v>
      </c>
      <c r="J77" s="55" t="s">
        <v>98</v>
      </c>
      <c r="V77" s="13">
        <v>14.07</v>
      </c>
      <c r="W77" s="13">
        <v>20.100000000000001</v>
      </c>
      <c r="X77" s="13">
        <v>26.13</v>
      </c>
    </row>
    <row r="78" spans="1:25" ht="64" x14ac:dyDescent="0.2">
      <c r="A78" s="9" t="s">
        <v>22</v>
      </c>
      <c r="B78" s="10" t="s">
        <v>220</v>
      </c>
      <c r="C78" s="8">
        <v>5</v>
      </c>
      <c r="D78" s="11" t="s">
        <v>35</v>
      </c>
      <c r="E78" s="12">
        <v>16.2</v>
      </c>
      <c r="F78" s="12">
        <v>81</v>
      </c>
      <c r="G78" s="8">
        <v>12</v>
      </c>
      <c r="H78" s="8">
        <v>18</v>
      </c>
      <c r="I78" s="8">
        <v>26</v>
      </c>
      <c r="L78" s="8" t="s">
        <v>921</v>
      </c>
      <c r="N78" s="8">
        <v>0.87</v>
      </c>
      <c r="O78" s="8">
        <v>0.87</v>
      </c>
      <c r="P78" s="8">
        <v>0.87</v>
      </c>
      <c r="Q78" s="8" t="s">
        <v>919</v>
      </c>
      <c r="R78" s="8">
        <f>N78*C78</f>
        <v>4.3499999999999996</v>
      </c>
      <c r="S78" s="8">
        <f>O78*C78</f>
        <v>4.3499999999999996</v>
      </c>
      <c r="T78" s="8">
        <f>P78*C78</f>
        <v>4.3499999999999996</v>
      </c>
      <c r="V78" s="13">
        <v>21</v>
      </c>
      <c r="W78" s="13">
        <v>21</v>
      </c>
      <c r="X78" s="13">
        <v>21</v>
      </c>
      <c r="Y78" s="8" t="s">
        <v>920</v>
      </c>
    </row>
    <row r="79" spans="1:25" ht="64" x14ac:dyDescent="0.2">
      <c r="A79" s="9" t="s">
        <v>6</v>
      </c>
      <c r="B79" s="10" t="s">
        <v>221</v>
      </c>
      <c r="C79" s="8">
        <v>35</v>
      </c>
      <c r="D79" s="11" t="s">
        <v>35</v>
      </c>
      <c r="E79" s="12">
        <v>10</v>
      </c>
      <c r="F79" s="12">
        <v>350</v>
      </c>
      <c r="G79" s="8">
        <v>49</v>
      </c>
      <c r="H79" s="8">
        <v>73</v>
      </c>
      <c r="I79" s="8">
        <v>113</v>
      </c>
      <c r="L79" s="8" t="s">
        <v>921</v>
      </c>
      <c r="N79" s="8">
        <v>0.87</v>
      </c>
      <c r="O79" s="8">
        <v>0.87</v>
      </c>
      <c r="P79" s="8">
        <v>0.87</v>
      </c>
      <c r="Q79" s="8" t="s">
        <v>919</v>
      </c>
      <c r="R79" s="8">
        <f>N79*C79</f>
        <v>30.45</v>
      </c>
      <c r="S79" s="8">
        <f>O79*C79</f>
        <v>30.45</v>
      </c>
      <c r="T79" s="8">
        <f>P79*C79</f>
        <v>30.45</v>
      </c>
      <c r="V79" s="13">
        <v>21</v>
      </c>
      <c r="W79" s="13">
        <v>21</v>
      </c>
      <c r="X79" s="13">
        <v>21</v>
      </c>
      <c r="Y79" s="8" t="s">
        <v>920</v>
      </c>
    </row>
    <row r="80" spans="1:25" ht="80" x14ac:dyDescent="0.2">
      <c r="A80" s="9" t="s">
        <v>9</v>
      </c>
      <c r="B80" s="10" t="s">
        <v>222</v>
      </c>
      <c r="C80" s="8">
        <v>239</v>
      </c>
      <c r="D80" s="11" t="s">
        <v>35</v>
      </c>
      <c r="E80" s="12">
        <v>8</v>
      </c>
      <c r="F80" s="12">
        <v>1912</v>
      </c>
      <c r="L80" s="8" t="s">
        <v>922</v>
      </c>
      <c r="N80" s="8">
        <v>0.44</v>
      </c>
      <c r="O80" s="8">
        <v>0.44</v>
      </c>
      <c r="P80" s="8">
        <v>0.44</v>
      </c>
      <c r="Q80" s="8" t="s">
        <v>919</v>
      </c>
      <c r="R80" s="8">
        <f>N80*C80</f>
        <v>105.16</v>
      </c>
      <c r="S80" s="8">
        <f>O80*C80</f>
        <v>105.16</v>
      </c>
      <c r="T80" s="8">
        <f>P80*C80</f>
        <v>105.16</v>
      </c>
      <c r="V80" s="13">
        <v>10.5</v>
      </c>
      <c r="W80" s="13">
        <v>10.5</v>
      </c>
      <c r="X80" s="13">
        <v>10.5</v>
      </c>
      <c r="Y80" s="8" t="s">
        <v>920</v>
      </c>
    </row>
    <row r="81" spans="1:24" ht="96" x14ac:dyDescent="0.2">
      <c r="A81" s="9" t="s">
        <v>6</v>
      </c>
      <c r="B81" s="10" t="s">
        <v>223</v>
      </c>
      <c r="C81" s="8">
        <v>48</v>
      </c>
      <c r="D81" s="11" t="s">
        <v>35</v>
      </c>
      <c r="E81" s="12">
        <v>69</v>
      </c>
      <c r="F81" s="12">
        <v>3312</v>
      </c>
      <c r="G81" s="8">
        <v>47</v>
      </c>
      <c r="H81" s="8">
        <v>72</v>
      </c>
      <c r="I81" s="8">
        <v>108</v>
      </c>
      <c r="J81" s="55">
        <f>C81*0.15</f>
        <v>7.1999999999999993</v>
      </c>
      <c r="K81" s="8">
        <v>1040</v>
      </c>
      <c r="N81" s="8">
        <v>0.18</v>
      </c>
      <c r="O81" s="8">
        <v>0.18</v>
      </c>
      <c r="P81" s="8">
        <v>0.18</v>
      </c>
      <c r="R81" s="8">
        <f>N81*K81*J81</f>
        <v>1347.8399999999997</v>
      </c>
      <c r="S81" s="8">
        <f>O81*K81*J81</f>
        <v>1347.8399999999997</v>
      </c>
      <c r="T81" s="8">
        <f>P81*K81*J81</f>
        <v>1347.8399999999997</v>
      </c>
      <c r="V81" s="13">
        <v>1.2</v>
      </c>
      <c r="W81" s="13">
        <v>2.1800000000000002</v>
      </c>
      <c r="X81" s="13">
        <v>3.8</v>
      </c>
    </row>
    <row r="82" spans="1:24" ht="96" x14ac:dyDescent="0.2">
      <c r="A82" s="9" t="s">
        <v>9</v>
      </c>
      <c r="B82" s="10" t="s">
        <v>224</v>
      </c>
      <c r="C82" s="8">
        <v>407</v>
      </c>
      <c r="D82" s="11" t="s">
        <v>35</v>
      </c>
      <c r="E82" s="12">
        <v>69</v>
      </c>
      <c r="F82" s="12">
        <v>28083</v>
      </c>
      <c r="G82" s="8">
        <v>42</v>
      </c>
      <c r="H82" s="8">
        <v>72</v>
      </c>
      <c r="I82" s="8">
        <v>108</v>
      </c>
      <c r="J82" s="55">
        <f>C82*0.15</f>
        <v>61.05</v>
      </c>
      <c r="K82" s="8">
        <v>1040</v>
      </c>
      <c r="N82" s="8">
        <v>0.18</v>
      </c>
      <c r="O82" s="8">
        <v>0.18</v>
      </c>
      <c r="P82" s="8">
        <v>0.18</v>
      </c>
      <c r="R82" s="8">
        <f>N82*K82*J82</f>
        <v>11428.56</v>
      </c>
      <c r="S82" s="8">
        <f>O82*K82*J82</f>
        <v>11428.56</v>
      </c>
      <c r="T82" s="8">
        <f>P82*K82*J82</f>
        <v>11428.56</v>
      </c>
      <c r="V82" s="13">
        <v>1.2</v>
      </c>
      <c r="W82" s="13">
        <v>2.1800000000000002</v>
      </c>
      <c r="X82" s="13">
        <v>3.8</v>
      </c>
    </row>
    <row r="83" spans="1:24" ht="112" x14ac:dyDescent="0.2">
      <c r="A83" s="9" t="s">
        <v>10</v>
      </c>
      <c r="B83" s="10" t="s">
        <v>225</v>
      </c>
      <c r="C83" s="8">
        <v>1</v>
      </c>
      <c r="D83" s="11" t="s">
        <v>7</v>
      </c>
      <c r="E83" s="12">
        <v>2253</v>
      </c>
      <c r="F83" s="12">
        <v>2253</v>
      </c>
      <c r="G83" s="8">
        <v>35</v>
      </c>
      <c r="H83" s="8">
        <v>60</v>
      </c>
      <c r="I83" s="8">
        <v>95</v>
      </c>
      <c r="J83" s="55">
        <f>33*0.3*0.051*0.1524*17</f>
        <v>1.30809492</v>
      </c>
      <c r="K83" s="8">
        <v>650</v>
      </c>
      <c r="L83" s="8" t="s">
        <v>923</v>
      </c>
      <c r="N83" s="8">
        <v>0.65</v>
      </c>
      <c r="O83" s="8">
        <v>0.65</v>
      </c>
      <c r="P83" s="8">
        <v>0.65</v>
      </c>
      <c r="R83" s="8">
        <f>N83*K83*J83</f>
        <v>552.67010370000003</v>
      </c>
      <c r="S83" s="8">
        <f>O83*K83*J83</f>
        <v>552.67010370000003</v>
      </c>
      <c r="T83" s="8">
        <f>P83*K83*J83</f>
        <v>552.67010370000003</v>
      </c>
      <c r="V83" s="13">
        <v>9.5</v>
      </c>
      <c r="W83" s="13">
        <v>9.5</v>
      </c>
      <c r="X83" s="13">
        <v>9.5</v>
      </c>
    </row>
    <row r="84" spans="1:24" ht="112" x14ac:dyDescent="0.2">
      <c r="A84" s="9" t="s">
        <v>11</v>
      </c>
      <c r="B84" s="10" t="s">
        <v>226</v>
      </c>
      <c r="C84" s="8">
        <v>1</v>
      </c>
      <c r="D84" s="11" t="s">
        <v>7</v>
      </c>
      <c r="E84" s="12">
        <v>2343</v>
      </c>
      <c r="F84" s="12">
        <v>2343</v>
      </c>
      <c r="G84" s="8">
        <v>35</v>
      </c>
      <c r="H84" s="8">
        <v>60</v>
      </c>
      <c r="I84" s="8">
        <v>95</v>
      </c>
      <c r="J84" s="55">
        <f>36.8*0.1524*0.051*14*0.3</f>
        <v>1.2013021439999998</v>
      </c>
      <c r="K84" s="8">
        <v>650</v>
      </c>
      <c r="N84" s="8">
        <v>0.65</v>
      </c>
      <c r="O84" s="8">
        <v>0.65</v>
      </c>
      <c r="P84" s="8">
        <v>0.65</v>
      </c>
      <c r="R84" s="8">
        <f t="shared" ref="R84:R97" si="27">N84*K84*J84</f>
        <v>507.55015583999989</v>
      </c>
      <c r="S84" s="8">
        <f t="shared" ref="S84:S97" si="28">O84*K84*J84</f>
        <v>507.55015583999989</v>
      </c>
      <c r="T84" s="8">
        <f t="shared" ref="T84:T97" si="29">P84*K84*J84</f>
        <v>507.55015583999989</v>
      </c>
      <c r="V84" s="13">
        <v>9.5</v>
      </c>
      <c r="W84" s="13">
        <v>9.5</v>
      </c>
      <c r="X84" s="13">
        <v>9.5</v>
      </c>
    </row>
    <row r="85" spans="1:24" ht="112" x14ac:dyDescent="0.2">
      <c r="A85" s="9" t="s">
        <v>12</v>
      </c>
      <c r="B85" s="10" t="s">
        <v>227</v>
      </c>
      <c r="C85" s="8">
        <v>1</v>
      </c>
      <c r="D85" s="11" t="s">
        <v>7</v>
      </c>
      <c r="E85" s="12">
        <v>2178</v>
      </c>
      <c r="F85" s="12">
        <v>2178</v>
      </c>
      <c r="G85" s="8">
        <v>35</v>
      </c>
      <c r="H85" s="8">
        <v>60</v>
      </c>
      <c r="I85" s="8">
        <v>95</v>
      </c>
      <c r="J85" s="55">
        <f>35.7*14*0.3*0.1524*0.051</f>
        <v>1.1653936560000002</v>
      </c>
      <c r="K85" s="8">
        <v>650</v>
      </c>
      <c r="N85" s="8">
        <v>0.65</v>
      </c>
      <c r="O85" s="8">
        <v>0.65</v>
      </c>
      <c r="P85" s="8">
        <v>0.65</v>
      </c>
      <c r="R85" s="8">
        <f t="shared" si="27"/>
        <v>492.37881966000009</v>
      </c>
      <c r="S85" s="8">
        <f t="shared" si="28"/>
        <v>492.37881966000009</v>
      </c>
      <c r="T85" s="8">
        <f t="shared" si="29"/>
        <v>492.37881966000009</v>
      </c>
      <c r="V85" s="13">
        <v>9.5</v>
      </c>
      <c r="W85" s="13">
        <v>9.5</v>
      </c>
      <c r="X85" s="13">
        <v>9.5</v>
      </c>
    </row>
    <row r="86" spans="1:24" ht="112" x14ac:dyDescent="0.2">
      <c r="A86" s="9" t="s">
        <v>13</v>
      </c>
      <c r="B86" s="10" t="s">
        <v>228</v>
      </c>
      <c r="C86" s="8">
        <v>1</v>
      </c>
      <c r="D86" s="11" t="s">
        <v>7</v>
      </c>
      <c r="E86" s="12">
        <v>2178</v>
      </c>
      <c r="F86" s="12">
        <v>2178</v>
      </c>
      <c r="G86" s="8">
        <v>35</v>
      </c>
      <c r="H86" s="8">
        <v>60</v>
      </c>
      <c r="I86" s="8">
        <v>95</v>
      </c>
      <c r="J86" s="55">
        <f>J85</f>
        <v>1.1653936560000002</v>
      </c>
      <c r="K86" s="8">
        <v>650</v>
      </c>
      <c r="N86" s="8">
        <v>0.65</v>
      </c>
      <c r="O86" s="8">
        <v>0.65</v>
      </c>
      <c r="P86" s="8">
        <v>0.65</v>
      </c>
      <c r="R86" s="8">
        <f t="shared" si="27"/>
        <v>492.37881966000009</v>
      </c>
      <c r="S86" s="8">
        <f t="shared" si="28"/>
        <v>492.37881966000009</v>
      </c>
      <c r="T86" s="8">
        <f t="shared" si="29"/>
        <v>492.37881966000009</v>
      </c>
      <c r="V86" s="13">
        <v>9.5</v>
      </c>
      <c r="W86" s="13">
        <v>9.5</v>
      </c>
      <c r="X86" s="13">
        <v>9.5</v>
      </c>
    </row>
    <row r="87" spans="1:24" ht="112" x14ac:dyDescent="0.2">
      <c r="A87" s="9" t="s">
        <v>14</v>
      </c>
      <c r="B87" s="10" t="s">
        <v>229</v>
      </c>
      <c r="C87" s="8">
        <v>1</v>
      </c>
      <c r="D87" s="11" t="s">
        <v>7</v>
      </c>
      <c r="E87" s="12">
        <v>3052</v>
      </c>
      <c r="F87" s="12">
        <v>3052</v>
      </c>
      <c r="G87" s="8">
        <v>35</v>
      </c>
      <c r="H87" s="8">
        <v>60</v>
      </c>
      <c r="I87" s="8">
        <v>95</v>
      </c>
      <c r="J87" s="55">
        <f>J85</f>
        <v>1.1653936560000002</v>
      </c>
      <c r="K87" s="8">
        <v>650</v>
      </c>
      <c r="N87" s="8">
        <v>0.65</v>
      </c>
      <c r="O87" s="8">
        <v>0.65</v>
      </c>
      <c r="P87" s="8">
        <v>0.65</v>
      </c>
      <c r="R87" s="8">
        <f t="shared" si="27"/>
        <v>492.37881966000009</v>
      </c>
      <c r="S87" s="8">
        <f t="shared" si="28"/>
        <v>492.37881966000009</v>
      </c>
      <c r="T87" s="8">
        <f t="shared" si="29"/>
        <v>492.37881966000009</v>
      </c>
      <c r="V87" s="13">
        <v>9.5</v>
      </c>
      <c r="W87" s="13">
        <v>9.5</v>
      </c>
      <c r="X87" s="13">
        <v>9.5</v>
      </c>
    </row>
    <row r="88" spans="1:24" ht="112" x14ac:dyDescent="0.2">
      <c r="A88" s="9" t="s">
        <v>15</v>
      </c>
      <c r="B88" s="10" t="s">
        <v>230</v>
      </c>
      <c r="C88" s="8">
        <v>2</v>
      </c>
      <c r="D88" s="11" t="s">
        <v>36</v>
      </c>
      <c r="E88" s="12">
        <v>12</v>
      </c>
      <c r="F88" s="12">
        <v>24</v>
      </c>
      <c r="G88" s="8">
        <v>35</v>
      </c>
      <c r="H88" s="8">
        <v>60</v>
      </c>
      <c r="I88" s="8">
        <v>95</v>
      </c>
      <c r="J88" s="55">
        <f>12.44*0.1524*0.051*2</f>
        <v>0.193377312</v>
      </c>
      <c r="K88" s="8">
        <v>650</v>
      </c>
      <c r="N88" s="8">
        <v>0.65</v>
      </c>
      <c r="O88" s="8">
        <v>0.65</v>
      </c>
      <c r="P88" s="8">
        <v>0.65</v>
      </c>
      <c r="R88" s="8">
        <f t="shared" si="27"/>
        <v>81.70191432</v>
      </c>
      <c r="S88" s="8">
        <f t="shared" si="28"/>
        <v>81.70191432</v>
      </c>
      <c r="T88" s="8">
        <f t="shared" si="29"/>
        <v>81.70191432</v>
      </c>
      <c r="V88" s="13">
        <v>9.5</v>
      </c>
      <c r="W88" s="13">
        <v>9.5</v>
      </c>
      <c r="X88" s="13">
        <v>9.5</v>
      </c>
    </row>
    <row r="89" spans="1:24" ht="112" x14ac:dyDescent="0.2">
      <c r="A89" s="9" t="s">
        <v>16</v>
      </c>
      <c r="B89" s="10" t="s">
        <v>231</v>
      </c>
      <c r="C89" s="8">
        <v>2</v>
      </c>
      <c r="D89" s="11" t="s">
        <v>36</v>
      </c>
      <c r="E89" s="12">
        <v>15</v>
      </c>
      <c r="F89" s="12">
        <v>30</v>
      </c>
      <c r="G89" s="8">
        <v>35</v>
      </c>
      <c r="H89" s="8">
        <v>60</v>
      </c>
      <c r="I89" s="8">
        <v>95</v>
      </c>
      <c r="J89" s="55">
        <f>33.12*0.1524*0.051*2</f>
        <v>0.51484377599999986</v>
      </c>
      <c r="K89" s="8">
        <v>650</v>
      </c>
      <c r="N89" s="8">
        <v>0.65</v>
      </c>
      <c r="O89" s="8">
        <v>0.65</v>
      </c>
      <c r="P89" s="8">
        <v>0.65</v>
      </c>
      <c r="R89" s="8">
        <f t="shared" si="27"/>
        <v>217.52149535999993</v>
      </c>
      <c r="S89" s="8">
        <f t="shared" si="28"/>
        <v>217.52149535999993</v>
      </c>
      <c r="T89" s="8">
        <f t="shared" si="29"/>
        <v>217.52149535999993</v>
      </c>
      <c r="V89" s="13">
        <v>9.5</v>
      </c>
      <c r="W89" s="13">
        <v>9.5</v>
      </c>
      <c r="X89" s="13">
        <v>9.5</v>
      </c>
    </row>
    <row r="90" spans="1:24" ht="112" x14ac:dyDescent="0.2">
      <c r="A90" s="9" t="s">
        <v>17</v>
      </c>
      <c r="B90" s="10" t="s">
        <v>232</v>
      </c>
      <c r="C90" s="8">
        <v>2</v>
      </c>
      <c r="D90" s="11" t="s">
        <v>36</v>
      </c>
      <c r="E90" s="12">
        <v>15</v>
      </c>
      <c r="F90" s="12">
        <v>30</v>
      </c>
      <c r="G90" s="8">
        <v>35</v>
      </c>
      <c r="H90" s="8">
        <v>60</v>
      </c>
      <c r="I90" s="8">
        <v>95</v>
      </c>
      <c r="J90" s="55">
        <f>43.12*0.1524*0.051*C90</f>
        <v>0.67029177599999989</v>
      </c>
      <c r="K90" s="8">
        <v>650</v>
      </c>
      <c r="N90" s="8">
        <v>0.65</v>
      </c>
      <c r="O90" s="8">
        <v>0.65</v>
      </c>
      <c r="P90" s="8">
        <v>0.65</v>
      </c>
      <c r="R90" s="8">
        <f t="shared" si="27"/>
        <v>283.19827535999997</v>
      </c>
      <c r="S90" s="8">
        <f t="shared" si="28"/>
        <v>283.19827535999997</v>
      </c>
      <c r="T90" s="8">
        <f t="shared" si="29"/>
        <v>283.19827535999997</v>
      </c>
      <c r="V90" s="13">
        <v>9.5</v>
      </c>
      <c r="W90" s="13">
        <v>9.5</v>
      </c>
      <c r="X90" s="13">
        <v>9.5</v>
      </c>
    </row>
    <row r="91" spans="1:24" ht="32" x14ac:dyDescent="0.2">
      <c r="A91" s="9" t="s">
        <v>18</v>
      </c>
      <c r="B91" s="10" t="s">
        <v>233</v>
      </c>
      <c r="C91" s="8">
        <v>98</v>
      </c>
      <c r="D91" s="11" t="s">
        <v>34</v>
      </c>
      <c r="E91" s="12">
        <v>4.9000000000000004</v>
      </c>
      <c r="F91" s="12">
        <v>480.2</v>
      </c>
      <c r="G91" s="8">
        <v>42</v>
      </c>
      <c r="H91" s="8">
        <v>71</v>
      </c>
      <c r="I91" s="8">
        <v>109</v>
      </c>
      <c r="J91" s="55">
        <f>0.05*0.15*98</f>
        <v>0.73499999999999999</v>
      </c>
      <c r="K91" s="8">
        <v>630</v>
      </c>
      <c r="N91" s="8">
        <v>0.59</v>
      </c>
      <c r="O91" s="8">
        <v>0.59</v>
      </c>
      <c r="P91" s="8">
        <v>0.59</v>
      </c>
      <c r="R91" s="8">
        <f t="shared" si="27"/>
        <v>273.1995</v>
      </c>
      <c r="S91" s="8">
        <f t="shared" si="28"/>
        <v>273.1995</v>
      </c>
      <c r="T91" s="8">
        <f t="shared" si="29"/>
        <v>273.1995</v>
      </c>
      <c r="V91" s="13">
        <v>0.72</v>
      </c>
      <c r="W91" s="13">
        <v>7.4</v>
      </c>
      <c r="X91" s="13">
        <v>13</v>
      </c>
    </row>
    <row r="92" spans="1:24" ht="48" x14ac:dyDescent="0.2">
      <c r="A92" s="9" t="s">
        <v>19</v>
      </c>
      <c r="B92" s="10" t="s">
        <v>234</v>
      </c>
      <c r="C92" s="8">
        <v>41</v>
      </c>
      <c r="D92" s="11" t="s">
        <v>34</v>
      </c>
      <c r="E92" s="12">
        <v>5.35</v>
      </c>
      <c r="F92" s="12">
        <v>219.35</v>
      </c>
      <c r="G92" s="8">
        <v>42</v>
      </c>
      <c r="H92" s="8">
        <v>71</v>
      </c>
      <c r="I92" s="8">
        <v>109</v>
      </c>
      <c r="J92" s="55">
        <f>0.05*0.15*41</f>
        <v>0.3075</v>
      </c>
      <c r="K92" s="8">
        <v>630</v>
      </c>
      <c r="N92" s="8">
        <v>0.59</v>
      </c>
      <c r="O92" s="8">
        <v>0.59</v>
      </c>
      <c r="P92" s="8">
        <v>0.59</v>
      </c>
      <c r="R92" s="8">
        <f t="shared" si="27"/>
        <v>114.29774999999999</v>
      </c>
      <c r="S92" s="8">
        <f t="shared" si="28"/>
        <v>114.29774999999999</v>
      </c>
      <c r="T92" s="8">
        <f t="shared" si="29"/>
        <v>114.29774999999999</v>
      </c>
      <c r="V92" s="13">
        <v>0.72</v>
      </c>
      <c r="W92" s="13">
        <v>7.4</v>
      </c>
      <c r="X92" s="13">
        <v>13</v>
      </c>
    </row>
    <row r="93" spans="1:24" ht="48" x14ac:dyDescent="0.2">
      <c r="A93" s="9" t="s">
        <v>6</v>
      </c>
      <c r="B93" s="10" t="s">
        <v>235</v>
      </c>
      <c r="C93" s="8">
        <v>129</v>
      </c>
      <c r="D93" s="11" t="s">
        <v>36</v>
      </c>
      <c r="E93" s="12">
        <v>9</v>
      </c>
      <c r="F93" s="12">
        <v>1161</v>
      </c>
      <c r="G93" s="8">
        <v>35</v>
      </c>
      <c r="H93" s="8">
        <v>60</v>
      </c>
      <c r="I93" s="8">
        <v>95</v>
      </c>
      <c r="J93" s="55">
        <f>129*1.75*0.05*0.003</f>
        <v>3.3862500000000004E-2</v>
      </c>
      <c r="K93" s="8">
        <v>7800</v>
      </c>
      <c r="N93" s="8">
        <v>1.54</v>
      </c>
      <c r="O93" s="8">
        <v>1.54</v>
      </c>
      <c r="P93" s="8">
        <v>1.54</v>
      </c>
      <c r="R93" s="8">
        <f t="shared" si="27"/>
        <v>406.75635000000005</v>
      </c>
      <c r="S93" s="8">
        <f t="shared" si="28"/>
        <v>406.75635000000005</v>
      </c>
      <c r="T93" s="8">
        <f t="shared" si="29"/>
        <v>406.75635000000005</v>
      </c>
      <c r="V93" s="13">
        <v>15.82</v>
      </c>
      <c r="W93" s="13">
        <v>22.6</v>
      </c>
      <c r="X93" s="13">
        <v>29.38</v>
      </c>
    </row>
    <row r="94" spans="1:24" ht="32" x14ac:dyDescent="0.2">
      <c r="A94" s="9" t="s">
        <v>9</v>
      </c>
      <c r="B94" s="10" t="s">
        <v>236</v>
      </c>
      <c r="C94" s="8">
        <v>160</v>
      </c>
      <c r="D94" s="11" t="s">
        <v>36</v>
      </c>
      <c r="E94" s="12">
        <v>2.4</v>
      </c>
      <c r="F94" s="12">
        <v>384</v>
      </c>
      <c r="G94" s="8">
        <v>35</v>
      </c>
      <c r="H94" s="8">
        <v>60</v>
      </c>
      <c r="I94" s="8">
        <v>95</v>
      </c>
      <c r="J94" s="55">
        <f>0.052*0.11*160</f>
        <v>0.9151999999999999</v>
      </c>
      <c r="K94" s="8">
        <v>7800</v>
      </c>
      <c r="N94" s="8">
        <v>1.54</v>
      </c>
      <c r="O94" s="8">
        <v>1.54</v>
      </c>
      <c r="P94" s="8">
        <v>1.54</v>
      </c>
      <c r="R94" s="8">
        <f t="shared" si="27"/>
        <v>10993.382399999999</v>
      </c>
      <c r="S94" s="8">
        <f t="shared" si="28"/>
        <v>10993.382399999999</v>
      </c>
      <c r="T94" s="8">
        <f t="shared" si="29"/>
        <v>10993.382399999999</v>
      </c>
      <c r="V94" s="13">
        <v>15.82</v>
      </c>
      <c r="W94" s="13">
        <v>22.6</v>
      </c>
      <c r="X94" s="13">
        <v>29.38</v>
      </c>
    </row>
    <row r="95" spans="1:24" ht="64" x14ac:dyDescent="0.2">
      <c r="A95" s="9" t="s">
        <v>10</v>
      </c>
      <c r="B95" s="10" t="s">
        <v>237</v>
      </c>
      <c r="C95" s="8">
        <v>270</v>
      </c>
      <c r="D95" s="11" t="s">
        <v>35</v>
      </c>
      <c r="E95" s="12">
        <v>8.0299999999999994</v>
      </c>
      <c r="F95" s="12">
        <v>2168.1</v>
      </c>
      <c r="G95" s="8">
        <v>32</v>
      </c>
      <c r="H95" s="8">
        <v>51</v>
      </c>
      <c r="I95" s="8">
        <v>69</v>
      </c>
      <c r="J95" s="55">
        <f>C95*0.3</f>
        <v>81</v>
      </c>
      <c r="K95" s="8">
        <v>650</v>
      </c>
      <c r="L95" s="8" t="s">
        <v>924</v>
      </c>
      <c r="N95" s="8">
        <v>0.86</v>
      </c>
      <c r="O95" s="8">
        <v>0.86</v>
      </c>
      <c r="P95" s="8">
        <v>0.86</v>
      </c>
      <c r="R95" s="8">
        <f t="shared" si="27"/>
        <v>45279</v>
      </c>
      <c r="S95" s="8">
        <f t="shared" si="28"/>
        <v>45279</v>
      </c>
      <c r="T95" s="8">
        <f t="shared" si="29"/>
        <v>45279</v>
      </c>
      <c r="V95" s="13">
        <v>4</v>
      </c>
      <c r="W95" s="13">
        <v>14.5</v>
      </c>
      <c r="X95" s="13">
        <v>15</v>
      </c>
    </row>
    <row r="96" spans="1:24" ht="80" x14ac:dyDescent="0.2">
      <c r="A96" s="9" t="s">
        <v>11</v>
      </c>
      <c r="B96" s="10" t="s">
        <v>238</v>
      </c>
      <c r="C96" s="8">
        <v>23</v>
      </c>
      <c r="D96" s="11" t="s">
        <v>35</v>
      </c>
      <c r="E96" s="12">
        <v>94.3</v>
      </c>
      <c r="F96" s="12">
        <v>2168.9</v>
      </c>
      <c r="G96" s="8">
        <v>42</v>
      </c>
      <c r="H96" s="8">
        <v>71</v>
      </c>
      <c r="I96" s="8">
        <v>109</v>
      </c>
      <c r="J96" s="55">
        <f>C96*0.3</f>
        <v>6.8999999999999995</v>
      </c>
      <c r="K96" s="8">
        <v>700</v>
      </c>
      <c r="N96" s="8">
        <v>0.87</v>
      </c>
      <c r="O96" s="8">
        <v>0.87</v>
      </c>
      <c r="P96" s="8">
        <v>0.87</v>
      </c>
      <c r="R96" s="8">
        <f t="shared" si="27"/>
        <v>4202.0999999999995</v>
      </c>
      <c r="S96" s="8">
        <f t="shared" si="28"/>
        <v>4202.0999999999995</v>
      </c>
      <c r="T96" s="8">
        <f t="shared" si="29"/>
        <v>4202.0999999999995</v>
      </c>
      <c r="V96" s="13">
        <v>0.72</v>
      </c>
      <c r="W96" s="13">
        <v>10.4</v>
      </c>
      <c r="X96" s="13">
        <v>16</v>
      </c>
    </row>
    <row r="97" spans="1:24" ht="48" x14ac:dyDescent="0.2">
      <c r="A97" s="9" t="s">
        <v>12</v>
      </c>
      <c r="B97" s="10" t="s">
        <v>239</v>
      </c>
      <c r="C97" s="8">
        <v>327</v>
      </c>
      <c r="D97" s="11" t="s">
        <v>34</v>
      </c>
      <c r="E97" s="12">
        <v>20.75</v>
      </c>
      <c r="F97" s="12">
        <v>6785.25</v>
      </c>
      <c r="G97" s="8">
        <v>50</v>
      </c>
      <c r="H97" s="8">
        <v>75</v>
      </c>
      <c r="I97" s="8">
        <v>100</v>
      </c>
      <c r="J97" s="55">
        <f>0.2*0.3*327</f>
        <v>19.62</v>
      </c>
      <c r="K97" s="8">
        <v>100</v>
      </c>
      <c r="N97" s="8">
        <v>1.1200000000000001</v>
      </c>
      <c r="O97" s="8">
        <v>1.1200000000000001</v>
      </c>
      <c r="P97" s="8">
        <v>1.1200000000000001</v>
      </c>
      <c r="R97" s="8">
        <f t="shared" si="27"/>
        <v>2197.4400000000005</v>
      </c>
      <c r="S97" s="8">
        <f t="shared" si="28"/>
        <v>2197.4400000000005</v>
      </c>
      <c r="T97" s="8">
        <f t="shared" si="29"/>
        <v>2197.4400000000005</v>
      </c>
      <c r="V97" s="13">
        <v>16.8</v>
      </c>
      <c r="W97" s="13">
        <v>16.8</v>
      </c>
      <c r="X97" s="13">
        <v>16.8</v>
      </c>
    </row>
    <row r="98" spans="1:24" ht="48" x14ac:dyDescent="0.2">
      <c r="A98" s="9" t="s">
        <v>6</v>
      </c>
      <c r="B98" s="10" t="s">
        <v>240</v>
      </c>
      <c r="C98" s="8">
        <v>41</v>
      </c>
      <c r="D98" s="11" t="s">
        <v>34</v>
      </c>
      <c r="E98" s="12">
        <v>4.9000000000000004</v>
      </c>
      <c r="F98" s="12">
        <v>200.9</v>
      </c>
      <c r="G98" s="8">
        <v>49</v>
      </c>
      <c r="H98" s="8">
        <v>82</v>
      </c>
      <c r="I98" s="8">
        <v>114</v>
      </c>
      <c r="J98" s="55">
        <f>0.15*0.05*41</f>
        <v>0.3075</v>
      </c>
      <c r="K98" s="8">
        <v>630</v>
      </c>
      <c r="N98" s="13">
        <v>0.59</v>
      </c>
      <c r="O98" s="13">
        <v>0.59</v>
      </c>
      <c r="P98" s="13">
        <v>0.59</v>
      </c>
      <c r="R98" s="8">
        <f t="shared" ref="R98:R109" si="30">N98*K98*J98</f>
        <v>114.29774999999999</v>
      </c>
      <c r="S98" s="8">
        <f t="shared" ref="S98:S109" si="31">O98*K98*J98</f>
        <v>114.29774999999999</v>
      </c>
      <c r="T98" s="8">
        <f t="shared" ref="T98:T109" si="32">P98*K98*J98</f>
        <v>114.29774999999999</v>
      </c>
      <c r="V98" s="13">
        <v>0.72</v>
      </c>
      <c r="W98" s="13">
        <v>7.4</v>
      </c>
      <c r="X98" s="13">
        <v>13</v>
      </c>
    </row>
    <row r="99" spans="1:24" ht="48" x14ac:dyDescent="0.2">
      <c r="A99" s="9" t="s">
        <v>9</v>
      </c>
      <c r="B99" s="10" t="s">
        <v>241</v>
      </c>
      <c r="C99" s="8">
        <v>65</v>
      </c>
      <c r="D99" s="11" t="s">
        <v>34</v>
      </c>
      <c r="E99" s="12">
        <v>5.0999999999999996</v>
      </c>
      <c r="F99" s="12">
        <v>331.5</v>
      </c>
      <c r="G99" s="8">
        <v>49</v>
      </c>
      <c r="H99" s="8">
        <v>82</v>
      </c>
      <c r="I99" s="8">
        <v>114</v>
      </c>
      <c r="J99" s="55">
        <f>0.15*0.05*65</f>
        <v>0.48749999999999999</v>
      </c>
      <c r="K99" s="8">
        <v>630</v>
      </c>
      <c r="N99" s="13">
        <v>0.59</v>
      </c>
      <c r="O99" s="13">
        <v>0.59</v>
      </c>
      <c r="P99" s="13">
        <v>0.59</v>
      </c>
      <c r="R99" s="8">
        <f t="shared" si="30"/>
        <v>181.20374999999999</v>
      </c>
      <c r="S99" s="8">
        <f t="shared" si="31"/>
        <v>181.20374999999999</v>
      </c>
      <c r="T99" s="8">
        <f t="shared" si="32"/>
        <v>181.20374999999999</v>
      </c>
      <c r="V99" s="13">
        <v>0.72</v>
      </c>
      <c r="W99" s="13">
        <v>7.4</v>
      </c>
      <c r="X99" s="13">
        <v>13</v>
      </c>
    </row>
    <row r="100" spans="1:24" ht="48" x14ac:dyDescent="0.2">
      <c r="A100" s="9" t="s">
        <v>10</v>
      </c>
      <c r="B100" s="10" t="s">
        <v>242</v>
      </c>
      <c r="C100" s="8">
        <v>913</v>
      </c>
      <c r="D100" s="11" t="s">
        <v>34</v>
      </c>
      <c r="E100" s="12">
        <v>5.88</v>
      </c>
      <c r="F100" s="12">
        <v>5368.44</v>
      </c>
      <c r="G100" s="8">
        <v>49</v>
      </c>
      <c r="H100" s="8">
        <v>82</v>
      </c>
      <c r="I100" s="8">
        <v>114</v>
      </c>
      <c r="J100" s="55">
        <f>0.175*0.05*C100</f>
        <v>7.9887499999999996</v>
      </c>
      <c r="K100" s="8">
        <v>630</v>
      </c>
      <c r="N100" s="13">
        <v>0.59</v>
      </c>
      <c r="O100" s="13">
        <v>0.59</v>
      </c>
      <c r="P100" s="13">
        <v>0.59</v>
      </c>
      <c r="R100" s="8">
        <f t="shared" si="30"/>
        <v>2969.4183749999997</v>
      </c>
      <c r="S100" s="8">
        <f t="shared" si="31"/>
        <v>2969.4183749999997</v>
      </c>
      <c r="T100" s="8">
        <f t="shared" si="32"/>
        <v>2969.4183749999997</v>
      </c>
      <c r="V100" s="13">
        <v>0.72</v>
      </c>
      <c r="W100" s="13">
        <v>7.4</v>
      </c>
      <c r="X100" s="13">
        <v>13</v>
      </c>
    </row>
    <row r="101" spans="1:24" ht="48" x14ac:dyDescent="0.2">
      <c r="A101" s="9" t="s">
        <v>11</v>
      </c>
      <c r="B101" s="10" t="s">
        <v>243</v>
      </c>
      <c r="C101" s="8">
        <v>15</v>
      </c>
      <c r="D101" s="11" t="s">
        <v>34</v>
      </c>
      <c r="E101" s="12">
        <v>6.38</v>
      </c>
      <c r="F101" s="12">
        <v>95.7</v>
      </c>
      <c r="G101" s="8">
        <v>49</v>
      </c>
      <c r="H101" s="8">
        <v>82</v>
      </c>
      <c r="I101" s="8">
        <v>114</v>
      </c>
      <c r="J101" s="55">
        <f>0.25*0.025*15</f>
        <v>9.375E-2</v>
      </c>
      <c r="K101" s="8">
        <v>630</v>
      </c>
      <c r="N101" s="13">
        <v>0.59</v>
      </c>
      <c r="O101" s="13">
        <v>0.59</v>
      </c>
      <c r="P101" s="13">
        <v>0.59</v>
      </c>
      <c r="R101" s="8">
        <f t="shared" si="30"/>
        <v>34.846874999999997</v>
      </c>
      <c r="S101" s="8">
        <f t="shared" si="31"/>
        <v>34.846874999999997</v>
      </c>
      <c r="T101" s="8">
        <f t="shared" si="32"/>
        <v>34.846874999999997</v>
      </c>
      <c r="V101" s="13">
        <v>0.72</v>
      </c>
      <c r="W101" s="13">
        <v>7.4</v>
      </c>
      <c r="X101" s="13">
        <v>13</v>
      </c>
    </row>
    <row r="102" spans="1:24" ht="48" x14ac:dyDescent="0.2">
      <c r="A102" s="9" t="s">
        <v>12</v>
      </c>
      <c r="B102" s="10" t="s">
        <v>244</v>
      </c>
      <c r="C102" s="8">
        <v>267</v>
      </c>
      <c r="D102" s="11" t="s">
        <v>34</v>
      </c>
      <c r="E102" s="12">
        <v>4.37</v>
      </c>
      <c r="F102" s="12">
        <v>1166.79</v>
      </c>
      <c r="G102" s="8">
        <v>49</v>
      </c>
      <c r="H102" s="8">
        <v>82</v>
      </c>
      <c r="I102" s="8">
        <v>114</v>
      </c>
      <c r="J102" s="55">
        <f>0.1*0.05*267</f>
        <v>1.3350000000000002</v>
      </c>
      <c r="K102" s="8">
        <v>630</v>
      </c>
      <c r="N102" s="13">
        <v>0.59</v>
      </c>
      <c r="O102" s="13">
        <v>0.59</v>
      </c>
      <c r="P102" s="13">
        <v>0.59</v>
      </c>
      <c r="R102" s="8">
        <f t="shared" si="30"/>
        <v>496.21950000000004</v>
      </c>
      <c r="S102" s="8">
        <f t="shared" si="31"/>
        <v>496.21950000000004</v>
      </c>
      <c r="T102" s="8">
        <f t="shared" si="32"/>
        <v>496.21950000000004</v>
      </c>
      <c r="V102" s="13">
        <v>0.72</v>
      </c>
      <c r="W102" s="13">
        <v>7.4</v>
      </c>
      <c r="X102" s="13">
        <v>13</v>
      </c>
    </row>
    <row r="103" spans="1:24" ht="32" x14ac:dyDescent="0.2">
      <c r="A103" s="9" t="s">
        <v>13</v>
      </c>
      <c r="B103" s="10" t="s">
        <v>245</v>
      </c>
      <c r="C103" s="8">
        <v>30</v>
      </c>
      <c r="D103" s="11" t="s">
        <v>34</v>
      </c>
      <c r="E103" s="12">
        <v>5.37</v>
      </c>
      <c r="F103" s="12">
        <v>161.1</v>
      </c>
      <c r="G103" s="8">
        <v>23</v>
      </c>
      <c r="H103" s="8">
        <v>37</v>
      </c>
      <c r="I103" s="8">
        <v>53</v>
      </c>
      <c r="J103" s="55">
        <f>0.1*0.05*30</f>
        <v>0.15000000000000002</v>
      </c>
      <c r="K103" s="8">
        <v>630</v>
      </c>
      <c r="N103" s="13">
        <v>0.59</v>
      </c>
      <c r="O103" s="13">
        <v>0.59</v>
      </c>
      <c r="P103" s="13">
        <v>0.59</v>
      </c>
      <c r="R103" s="8">
        <f t="shared" si="30"/>
        <v>55.75500000000001</v>
      </c>
      <c r="S103" s="8">
        <f t="shared" si="31"/>
        <v>55.75500000000001</v>
      </c>
      <c r="T103" s="8">
        <f t="shared" si="32"/>
        <v>55.75500000000001</v>
      </c>
      <c r="V103" s="13">
        <v>0.72</v>
      </c>
      <c r="W103" s="13">
        <v>7.4</v>
      </c>
      <c r="X103" s="13">
        <v>13</v>
      </c>
    </row>
    <row r="104" spans="1:24" ht="32" x14ac:dyDescent="0.2">
      <c r="A104" s="9" t="s">
        <v>14</v>
      </c>
      <c r="B104" s="10" t="s">
        <v>246</v>
      </c>
      <c r="C104" s="8">
        <v>183</v>
      </c>
      <c r="D104" s="11" t="s">
        <v>34</v>
      </c>
      <c r="E104" s="12">
        <v>5.37</v>
      </c>
      <c r="F104" s="12">
        <v>982.71</v>
      </c>
      <c r="G104" s="8">
        <v>23</v>
      </c>
      <c r="H104" s="8">
        <v>37</v>
      </c>
      <c r="I104" s="8">
        <v>53</v>
      </c>
      <c r="J104" s="55">
        <f>0.1*0.05*183</f>
        <v>0.91500000000000015</v>
      </c>
      <c r="K104" s="8">
        <v>630</v>
      </c>
      <c r="N104" s="13">
        <v>0.59</v>
      </c>
      <c r="O104" s="13">
        <v>0.59</v>
      </c>
      <c r="P104" s="13">
        <v>0.59</v>
      </c>
      <c r="R104" s="8">
        <f t="shared" si="30"/>
        <v>340.10550000000006</v>
      </c>
      <c r="S104" s="8">
        <f t="shared" si="31"/>
        <v>340.10550000000006</v>
      </c>
      <c r="T104" s="8">
        <f t="shared" si="32"/>
        <v>340.10550000000006</v>
      </c>
      <c r="V104" s="13">
        <v>0.72</v>
      </c>
      <c r="W104" s="13">
        <v>7.4</v>
      </c>
      <c r="X104" s="13">
        <v>13</v>
      </c>
    </row>
    <row r="105" spans="1:24" ht="48" x14ac:dyDescent="0.2">
      <c r="A105" s="9" t="s">
        <v>15</v>
      </c>
      <c r="B105" s="10" t="s">
        <v>247</v>
      </c>
      <c r="C105" s="8">
        <v>10</v>
      </c>
      <c r="D105" s="11" t="s">
        <v>34</v>
      </c>
      <c r="E105" s="12">
        <v>5.37</v>
      </c>
      <c r="F105" s="12">
        <v>53.7</v>
      </c>
      <c r="G105" s="8">
        <v>23</v>
      </c>
      <c r="H105" s="8">
        <v>37</v>
      </c>
      <c r="I105" s="8">
        <v>53</v>
      </c>
      <c r="J105" s="55">
        <f>0.1*0.05*C105</f>
        <v>5.000000000000001E-2</v>
      </c>
      <c r="K105" s="8">
        <v>630</v>
      </c>
      <c r="N105" s="13">
        <v>0.59</v>
      </c>
      <c r="O105" s="13">
        <v>0.59</v>
      </c>
      <c r="P105" s="13">
        <v>0.59</v>
      </c>
      <c r="R105" s="8">
        <f t="shared" si="30"/>
        <v>18.585000000000004</v>
      </c>
      <c r="S105" s="8">
        <f t="shared" si="31"/>
        <v>18.585000000000004</v>
      </c>
      <c r="T105" s="8">
        <f t="shared" si="32"/>
        <v>18.585000000000004</v>
      </c>
      <c r="V105" s="13">
        <v>0.72</v>
      </c>
      <c r="W105" s="13">
        <v>7.4</v>
      </c>
      <c r="X105" s="13">
        <v>13</v>
      </c>
    </row>
    <row r="106" spans="1:24" ht="32" x14ac:dyDescent="0.2">
      <c r="A106" s="9" t="s">
        <v>16</v>
      </c>
      <c r="B106" s="10" t="s">
        <v>248</v>
      </c>
      <c r="C106" s="8">
        <v>287</v>
      </c>
      <c r="D106" s="11" t="s">
        <v>34</v>
      </c>
      <c r="E106" s="12">
        <v>4.82</v>
      </c>
      <c r="F106" s="12">
        <v>1383.34</v>
      </c>
      <c r="G106" s="8">
        <v>23</v>
      </c>
      <c r="H106" s="8">
        <v>37</v>
      </c>
      <c r="I106" s="8">
        <v>53</v>
      </c>
      <c r="J106" s="55">
        <f>0.1*0.05*C106</f>
        <v>1.4350000000000003</v>
      </c>
      <c r="K106" s="8">
        <v>630</v>
      </c>
      <c r="N106" s="13">
        <v>0.59</v>
      </c>
      <c r="O106" s="13">
        <v>0.59</v>
      </c>
      <c r="P106" s="13">
        <v>0.59</v>
      </c>
      <c r="R106" s="8">
        <f t="shared" si="30"/>
        <v>533.38950000000011</v>
      </c>
      <c r="S106" s="8">
        <f t="shared" si="31"/>
        <v>533.38950000000011</v>
      </c>
      <c r="T106" s="8">
        <f t="shared" si="32"/>
        <v>533.38950000000011</v>
      </c>
      <c r="V106" s="13">
        <v>0.72</v>
      </c>
      <c r="W106" s="13">
        <v>7.4</v>
      </c>
      <c r="X106" s="13">
        <v>13</v>
      </c>
    </row>
    <row r="107" spans="1:24" ht="32" x14ac:dyDescent="0.2">
      <c r="A107" s="9" t="s">
        <v>17</v>
      </c>
      <c r="B107" s="10" t="s">
        <v>249</v>
      </c>
      <c r="C107" s="8">
        <v>60</v>
      </c>
      <c r="D107" s="11" t="s">
        <v>34</v>
      </c>
      <c r="E107" s="12">
        <v>4.37</v>
      </c>
      <c r="F107" s="12">
        <v>262.2</v>
      </c>
      <c r="G107" s="8">
        <v>23</v>
      </c>
      <c r="H107" s="8">
        <v>37</v>
      </c>
      <c r="I107" s="8">
        <v>53</v>
      </c>
      <c r="J107" s="55">
        <f>0.1*0.05*C107</f>
        <v>0.30000000000000004</v>
      </c>
      <c r="K107" s="8">
        <v>630</v>
      </c>
      <c r="N107" s="13">
        <v>0.59</v>
      </c>
      <c r="O107" s="13">
        <v>0.59</v>
      </c>
      <c r="P107" s="13">
        <v>0.59</v>
      </c>
      <c r="R107" s="8">
        <f t="shared" si="30"/>
        <v>111.51000000000002</v>
      </c>
      <c r="S107" s="8">
        <f t="shared" si="31"/>
        <v>111.51000000000002</v>
      </c>
      <c r="T107" s="8">
        <f t="shared" si="32"/>
        <v>111.51000000000002</v>
      </c>
      <c r="V107" s="13">
        <v>0.72</v>
      </c>
      <c r="W107" s="13">
        <v>7.4</v>
      </c>
      <c r="X107" s="13">
        <v>13</v>
      </c>
    </row>
    <row r="108" spans="1:24" ht="32" x14ac:dyDescent="0.2">
      <c r="A108" s="9" t="s">
        <v>18</v>
      </c>
      <c r="B108" s="10" t="s">
        <v>250</v>
      </c>
      <c r="C108" s="8">
        <v>1235</v>
      </c>
      <c r="D108" s="11" t="s">
        <v>34</v>
      </c>
      <c r="E108" s="12">
        <v>3.04</v>
      </c>
      <c r="F108" s="12">
        <v>3754.4</v>
      </c>
      <c r="G108" s="8">
        <v>23</v>
      </c>
      <c r="H108" s="8">
        <v>37</v>
      </c>
      <c r="I108" s="8">
        <v>53</v>
      </c>
      <c r="J108" s="55">
        <f>0.05*0.05*1235</f>
        <v>3.0875000000000008</v>
      </c>
      <c r="K108" s="8">
        <v>630</v>
      </c>
      <c r="N108" s="13">
        <v>0.59</v>
      </c>
      <c r="O108" s="13">
        <v>0.59</v>
      </c>
      <c r="P108" s="13">
        <v>0.59</v>
      </c>
      <c r="R108" s="8">
        <f t="shared" si="30"/>
        <v>1147.6237500000002</v>
      </c>
      <c r="S108" s="8">
        <f t="shared" si="31"/>
        <v>1147.6237500000002</v>
      </c>
      <c r="T108" s="8">
        <f t="shared" si="32"/>
        <v>1147.6237500000002</v>
      </c>
      <c r="V108" s="13">
        <v>0.72</v>
      </c>
      <c r="W108" s="13">
        <v>7.4</v>
      </c>
      <c r="X108" s="13">
        <v>13</v>
      </c>
    </row>
    <row r="109" spans="1:24" ht="48" x14ac:dyDescent="0.2">
      <c r="A109" s="9" t="s">
        <v>19</v>
      </c>
      <c r="B109" s="10" t="s">
        <v>251</v>
      </c>
      <c r="C109" s="8">
        <v>378</v>
      </c>
      <c r="D109" s="11" t="s">
        <v>34</v>
      </c>
      <c r="E109" s="12">
        <v>3.04</v>
      </c>
      <c r="F109" s="12">
        <v>1149.1199999999999</v>
      </c>
      <c r="G109" s="8">
        <v>23</v>
      </c>
      <c r="H109" s="8">
        <v>37</v>
      </c>
      <c r="I109" s="8">
        <v>53</v>
      </c>
      <c r="J109" s="55">
        <f>0.05*0.05*378</f>
        <v>0.94500000000000017</v>
      </c>
      <c r="K109" s="8">
        <v>630</v>
      </c>
      <c r="N109" s="13">
        <v>0.59</v>
      </c>
      <c r="O109" s="13">
        <v>0.59</v>
      </c>
      <c r="P109" s="13">
        <v>0.59</v>
      </c>
      <c r="R109" s="8">
        <f t="shared" si="30"/>
        <v>351.25650000000007</v>
      </c>
      <c r="S109" s="8">
        <f t="shared" si="31"/>
        <v>351.25650000000007</v>
      </c>
      <c r="T109" s="8">
        <f t="shared" si="32"/>
        <v>351.25650000000007</v>
      </c>
      <c r="V109" s="13">
        <v>0.72</v>
      </c>
      <c r="W109" s="13">
        <v>7.4</v>
      </c>
      <c r="X109" s="13">
        <v>13</v>
      </c>
    </row>
    <row r="110" spans="1:24" ht="96" x14ac:dyDescent="0.2">
      <c r="A110" s="9" t="s">
        <v>20</v>
      </c>
      <c r="B110" s="10" t="s">
        <v>252</v>
      </c>
      <c r="C110" s="8">
        <v>90</v>
      </c>
      <c r="D110" s="11" t="s">
        <v>35</v>
      </c>
      <c r="E110" s="12">
        <v>35</v>
      </c>
      <c r="F110" s="12">
        <v>3150</v>
      </c>
      <c r="G110" s="8">
        <v>23</v>
      </c>
      <c r="H110" s="8">
        <v>37</v>
      </c>
      <c r="I110" s="8">
        <v>53</v>
      </c>
      <c r="V110" s="13"/>
      <c r="W110" s="13"/>
      <c r="X110" s="13"/>
    </row>
    <row r="111" spans="1:24" ht="96" x14ac:dyDescent="0.2">
      <c r="A111" s="9" t="s">
        <v>21</v>
      </c>
      <c r="B111" s="10" t="s">
        <v>253</v>
      </c>
      <c r="C111" s="8">
        <v>8</v>
      </c>
      <c r="D111" s="11" t="s">
        <v>35</v>
      </c>
      <c r="E111" s="12">
        <v>35</v>
      </c>
      <c r="F111" s="12">
        <v>280</v>
      </c>
      <c r="G111" s="8">
        <v>23</v>
      </c>
      <c r="H111" s="8">
        <v>37</v>
      </c>
      <c r="I111" s="8">
        <v>53</v>
      </c>
      <c r="V111" s="13"/>
      <c r="W111" s="13"/>
      <c r="X111" s="13"/>
    </row>
    <row r="112" spans="1:24" ht="96" x14ac:dyDescent="0.2">
      <c r="A112" s="9" t="s">
        <v>6</v>
      </c>
      <c r="B112" s="10" t="s">
        <v>254</v>
      </c>
      <c r="C112" s="8">
        <v>56</v>
      </c>
      <c r="D112" s="11" t="s">
        <v>35</v>
      </c>
      <c r="E112" s="12">
        <v>35</v>
      </c>
      <c r="F112" s="12">
        <v>1960</v>
      </c>
      <c r="G112" s="8">
        <v>30</v>
      </c>
      <c r="H112" s="8">
        <v>60</v>
      </c>
      <c r="I112" s="8">
        <v>80</v>
      </c>
      <c r="V112" s="13"/>
      <c r="W112" s="13"/>
      <c r="X112" s="13"/>
    </row>
    <row r="113" spans="1:24" ht="96" x14ac:dyDescent="0.2">
      <c r="A113" s="9" t="s">
        <v>9</v>
      </c>
      <c r="B113" s="10" t="s">
        <v>255</v>
      </c>
      <c r="C113" s="8">
        <v>168</v>
      </c>
      <c r="D113" s="11" t="s">
        <v>35</v>
      </c>
      <c r="E113" s="12">
        <v>34.76</v>
      </c>
      <c r="F113" s="12">
        <v>5839.68</v>
      </c>
      <c r="G113" s="8">
        <v>30</v>
      </c>
      <c r="H113" s="8">
        <v>60</v>
      </c>
      <c r="I113" s="8">
        <v>80</v>
      </c>
      <c r="V113" s="13"/>
      <c r="W113" s="13"/>
      <c r="X113" s="13"/>
    </row>
    <row r="114" spans="1:24" ht="112" x14ac:dyDescent="0.2">
      <c r="A114" s="9" t="s">
        <v>10</v>
      </c>
      <c r="B114" s="10" t="s">
        <v>256</v>
      </c>
      <c r="C114" s="8">
        <v>157</v>
      </c>
      <c r="D114" s="11" t="s">
        <v>35</v>
      </c>
      <c r="E114" s="12">
        <v>26.25</v>
      </c>
      <c r="F114" s="12">
        <v>4121.25</v>
      </c>
      <c r="G114" s="8">
        <v>30</v>
      </c>
      <c r="H114" s="8">
        <v>60</v>
      </c>
      <c r="I114" s="8">
        <v>80</v>
      </c>
      <c r="V114" s="13"/>
      <c r="W114" s="13"/>
      <c r="X114" s="13"/>
    </row>
    <row r="115" spans="1:24" ht="96" x14ac:dyDescent="0.2">
      <c r="A115" s="9" t="s">
        <v>11</v>
      </c>
      <c r="B115" s="10" t="s">
        <v>257</v>
      </c>
      <c r="C115" s="8">
        <v>104</v>
      </c>
      <c r="D115" s="11" t="s">
        <v>35</v>
      </c>
      <c r="E115" s="12">
        <v>27.83</v>
      </c>
      <c r="F115" s="12">
        <v>2894.32</v>
      </c>
      <c r="G115" s="8">
        <v>30</v>
      </c>
      <c r="H115" s="8">
        <v>60</v>
      </c>
      <c r="I115" s="8">
        <v>80</v>
      </c>
      <c r="V115" s="13"/>
      <c r="W115" s="13"/>
      <c r="X115" s="13"/>
    </row>
    <row r="116" spans="1:24" ht="32" x14ac:dyDescent="0.2">
      <c r="A116" s="9" t="s">
        <v>12</v>
      </c>
      <c r="B116" s="10" t="s">
        <v>258</v>
      </c>
      <c r="C116" s="8">
        <v>158</v>
      </c>
      <c r="D116" s="11" t="s">
        <v>34</v>
      </c>
      <c r="E116" s="12">
        <v>10</v>
      </c>
      <c r="F116" s="12">
        <v>1580</v>
      </c>
      <c r="G116" s="8">
        <v>23</v>
      </c>
      <c r="H116" s="8">
        <v>36</v>
      </c>
      <c r="I116" s="8">
        <v>49</v>
      </c>
      <c r="J116" s="55">
        <f>0.3*0.012*158</f>
        <v>0.56879999999999997</v>
      </c>
      <c r="K116" s="8">
        <v>700</v>
      </c>
      <c r="N116" s="8">
        <v>1.1000000000000001</v>
      </c>
      <c r="O116" s="8">
        <v>1.1000000000000001</v>
      </c>
      <c r="P116" s="8">
        <v>1.1000000000000001</v>
      </c>
      <c r="R116" s="8">
        <f>N116*K116*J116</f>
        <v>437.97600000000006</v>
      </c>
      <c r="S116" s="8">
        <f>O116*K116*J116</f>
        <v>437.97600000000006</v>
      </c>
      <c r="T116" s="8">
        <f>P116*K116*J116</f>
        <v>437.97600000000006</v>
      </c>
      <c r="V116" s="13">
        <v>10</v>
      </c>
      <c r="W116" s="13">
        <v>15</v>
      </c>
      <c r="X116" s="13">
        <v>20</v>
      </c>
    </row>
    <row r="117" spans="1:24" ht="48" x14ac:dyDescent="0.2">
      <c r="A117" s="9" t="s">
        <v>13</v>
      </c>
      <c r="B117" s="10" t="s">
        <v>259</v>
      </c>
      <c r="C117" s="8">
        <v>50</v>
      </c>
      <c r="D117" s="11" t="s">
        <v>36</v>
      </c>
      <c r="E117" s="12">
        <v>9.1999999999999993</v>
      </c>
      <c r="F117" s="12">
        <v>460</v>
      </c>
      <c r="G117" s="8">
        <v>24</v>
      </c>
      <c r="H117" s="8">
        <v>34</v>
      </c>
      <c r="I117" s="8">
        <v>42</v>
      </c>
      <c r="J117" s="55">
        <f>1.7*0.05*0.003*C117</f>
        <v>1.2750000000000001E-2</v>
      </c>
      <c r="K117" s="8">
        <v>7800</v>
      </c>
      <c r="N117" s="13">
        <v>1.54</v>
      </c>
      <c r="O117" s="13">
        <v>1.54</v>
      </c>
      <c r="P117" s="13">
        <v>1.54</v>
      </c>
      <c r="R117" s="8">
        <f t="shared" ref="R117:R118" si="33">N117*K117*J117</f>
        <v>153.15300000000002</v>
      </c>
      <c r="S117" s="8">
        <f t="shared" ref="S117:S118" si="34">O117*K117*J117</f>
        <v>153.15300000000002</v>
      </c>
      <c r="T117" s="8">
        <f t="shared" ref="T117:T118" si="35">P117*K117*J117</f>
        <v>153.15300000000002</v>
      </c>
      <c r="V117" s="13">
        <v>15.82</v>
      </c>
      <c r="W117" s="13">
        <v>22.6</v>
      </c>
      <c r="X117" s="13">
        <v>29.38</v>
      </c>
    </row>
    <row r="118" spans="1:24" ht="32" x14ac:dyDescent="0.2">
      <c r="A118" s="9" t="s">
        <v>14</v>
      </c>
      <c r="B118" s="10" t="s">
        <v>39</v>
      </c>
      <c r="C118" s="8">
        <v>228</v>
      </c>
      <c r="D118" s="11" t="s">
        <v>36</v>
      </c>
      <c r="E118" s="12">
        <v>8.3800000000000008</v>
      </c>
      <c r="F118" s="12">
        <v>1910.64</v>
      </c>
      <c r="G118" s="8">
        <v>24</v>
      </c>
      <c r="H118" s="8">
        <v>34</v>
      </c>
      <c r="I118" s="8">
        <v>42</v>
      </c>
      <c r="J118" s="55">
        <f>1.2*0.05*0.003*228</f>
        <v>4.1039999999999993E-2</v>
      </c>
      <c r="K118" s="8">
        <v>7800</v>
      </c>
      <c r="N118" s="13">
        <v>1.54</v>
      </c>
      <c r="O118" s="13">
        <v>1.54</v>
      </c>
      <c r="P118" s="13">
        <v>1.54</v>
      </c>
      <c r="R118" s="8">
        <f t="shared" si="33"/>
        <v>492.9724799999999</v>
      </c>
      <c r="S118" s="8">
        <f t="shared" si="34"/>
        <v>492.9724799999999</v>
      </c>
      <c r="T118" s="8">
        <f t="shared" si="35"/>
        <v>492.9724799999999</v>
      </c>
      <c r="V118" s="13">
        <v>15.82</v>
      </c>
      <c r="W118" s="13">
        <v>22.6</v>
      </c>
      <c r="X118" s="13">
        <v>29.38</v>
      </c>
    </row>
    <row r="119" spans="1:24" ht="32" x14ac:dyDescent="0.2">
      <c r="A119" s="9" t="s">
        <v>15</v>
      </c>
      <c r="B119" s="10" t="s">
        <v>260</v>
      </c>
      <c r="C119" s="8">
        <v>1</v>
      </c>
      <c r="D119" s="11" t="s">
        <v>7</v>
      </c>
      <c r="E119" s="12">
        <v>500</v>
      </c>
      <c r="F119" s="12">
        <v>500</v>
      </c>
      <c r="G119" s="8">
        <v>24</v>
      </c>
      <c r="H119" s="8">
        <v>34</v>
      </c>
      <c r="I119" s="8">
        <v>42</v>
      </c>
      <c r="V119" s="13"/>
      <c r="W119" s="13"/>
      <c r="X119" s="13"/>
    </row>
    <row r="120" spans="1:24" ht="64" x14ac:dyDescent="0.2">
      <c r="A120" s="9" t="s">
        <v>16</v>
      </c>
      <c r="B120" s="10" t="s">
        <v>261</v>
      </c>
      <c r="C120" s="8">
        <v>68</v>
      </c>
      <c r="D120" s="11" t="s">
        <v>35</v>
      </c>
      <c r="E120" s="12">
        <v>45</v>
      </c>
      <c r="F120" s="12">
        <v>3060</v>
      </c>
      <c r="G120" s="8">
        <v>17</v>
      </c>
      <c r="H120" s="8">
        <v>26</v>
      </c>
      <c r="I120" s="8">
        <v>36</v>
      </c>
      <c r="J120" s="55">
        <f>68*0.005</f>
        <v>0.34</v>
      </c>
      <c r="K120" s="8">
        <v>1600</v>
      </c>
      <c r="N120" s="8">
        <v>7.0000000000000001E-3</v>
      </c>
      <c r="O120" s="8">
        <v>3.5000000000000003E-2</v>
      </c>
      <c r="P120" s="8">
        <v>6.3E-2</v>
      </c>
      <c r="R120" s="8">
        <f>N120*K120*J120</f>
        <v>3.8080000000000007</v>
      </c>
      <c r="S120" s="8">
        <f>O120*K120*J120</f>
        <v>19.040000000000003</v>
      </c>
      <c r="T120" s="8">
        <f>P120*K120*J120</f>
        <v>34.271999999999998</v>
      </c>
      <c r="V120" s="13">
        <v>0.1</v>
      </c>
      <c r="W120" s="13">
        <v>0.5</v>
      </c>
      <c r="X120" s="13">
        <v>1</v>
      </c>
    </row>
    <row r="121" spans="1:24" ht="64" x14ac:dyDescent="0.2">
      <c r="A121" s="9" t="s">
        <v>17</v>
      </c>
      <c r="B121" s="10" t="s">
        <v>262</v>
      </c>
      <c r="C121" s="8">
        <v>914</v>
      </c>
      <c r="D121" s="11" t="s">
        <v>35</v>
      </c>
      <c r="E121" s="12">
        <v>35</v>
      </c>
      <c r="F121" s="12">
        <v>31990</v>
      </c>
      <c r="G121" s="8">
        <v>17</v>
      </c>
      <c r="H121" s="8">
        <v>26</v>
      </c>
      <c r="I121" s="8">
        <v>36</v>
      </c>
      <c r="J121" s="55">
        <f>C121*0.025</f>
        <v>22.85</v>
      </c>
      <c r="K121" s="8">
        <v>1600</v>
      </c>
      <c r="N121" s="8">
        <v>7.0000000000000001E-3</v>
      </c>
      <c r="O121" s="8">
        <v>3.5000000000000003E-2</v>
      </c>
      <c r="P121" s="8">
        <v>6.3E-2</v>
      </c>
      <c r="R121" s="8">
        <f t="shared" ref="R121:R125" si="36">N121*K121*J121</f>
        <v>255.92000000000004</v>
      </c>
      <c r="S121" s="8">
        <f t="shared" ref="S121:S125" si="37">O121*K121*J121</f>
        <v>1279.6000000000001</v>
      </c>
      <c r="T121" s="8">
        <f t="shared" ref="T121:T125" si="38">P121*K121*J121</f>
        <v>2303.2800000000002</v>
      </c>
      <c r="V121" s="13">
        <v>0.1</v>
      </c>
      <c r="W121" s="13">
        <v>0.5</v>
      </c>
      <c r="X121" s="13">
        <v>1</v>
      </c>
    </row>
    <row r="122" spans="1:24" ht="96" x14ac:dyDescent="0.2">
      <c r="A122" s="9" t="s">
        <v>18</v>
      </c>
      <c r="B122" s="10" t="s">
        <v>263</v>
      </c>
      <c r="C122" s="8">
        <v>71</v>
      </c>
      <c r="D122" s="11" t="s">
        <v>34</v>
      </c>
      <c r="E122" s="12">
        <v>12</v>
      </c>
      <c r="F122" s="12">
        <v>852</v>
      </c>
      <c r="G122" s="8">
        <v>17</v>
      </c>
      <c r="H122" s="8">
        <v>26</v>
      </c>
      <c r="I122" s="8">
        <v>36</v>
      </c>
      <c r="J122" s="55">
        <f>C122*0.038*0.025</f>
        <v>6.7449999999999996E-2</v>
      </c>
      <c r="K122" s="8">
        <v>1600</v>
      </c>
      <c r="N122" s="8">
        <v>7.0000000000000001E-3</v>
      </c>
      <c r="O122" s="8">
        <v>3.5000000000000003E-2</v>
      </c>
      <c r="P122" s="8">
        <v>6.3E-2</v>
      </c>
      <c r="R122" s="8">
        <f t="shared" si="36"/>
        <v>0.75544</v>
      </c>
      <c r="S122" s="8">
        <f t="shared" si="37"/>
        <v>3.7772000000000001</v>
      </c>
      <c r="T122" s="8">
        <f t="shared" si="38"/>
        <v>6.7989599999999992</v>
      </c>
      <c r="V122" s="13">
        <v>0.1</v>
      </c>
      <c r="W122" s="13">
        <v>0.5</v>
      </c>
      <c r="X122" s="13">
        <v>1</v>
      </c>
    </row>
    <row r="123" spans="1:24" ht="96" x14ac:dyDescent="0.2">
      <c r="A123" s="9" t="s">
        <v>19</v>
      </c>
      <c r="B123" s="10" t="s">
        <v>264</v>
      </c>
      <c r="C123" s="8">
        <v>10</v>
      </c>
      <c r="D123" s="11" t="s">
        <v>34</v>
      </c>
      <c r="E123" s="12">
        <v>8</v>
      </c>
      <c r="F123" s="12">
        <v>80</v>
      </c>
      <c r="G123" s="8">
        <v>17</v>
      </c>
      <c r="H123" s="8">
        <v>26</v>
      </c>
      <c r="I123" s="8">
        <v>36</v>
      </c>
      <c r="J123" s="55">
        <f>C123*0.038*0.025</f>
        <v>9.5000000000000015E-3</v>
      </c>
      <c r="K123" s="8">
        <v>1600</v>
      </c>
      <c r="N123" s="8">
        <v>7.0000000000000001E-3</v>
      </c>
      <c r="O123" s="8">
        <v>3.5000000000000003E-2</v>
      </c>
      <c r="P123" s="8">
        <v>6.3E-2</v>
      </c>
      <c r="R123" s="8">
        <f t="shared" si="36"/>
        <v>0.10640000000000002</v>
      </c>
      <c r="S123" s="8">
        <f t="shared" si="37"/>
        <v>0.53200000000000014</v>
      </c>
      <c r="T123" s="8">
        <f t="shared" si="38"/>
        <v>0.95760000000000012</v>
      </c>
      <c r="V123" s="13">
        <v>0.1</v>
      </c>
      <c r="W123" s="13">
        <v>0.5</v>
      </c>
      <c r="X123" s="13">
        <v>1</v>
      </c>
    </row>
    <row r="124" spans="1:24" ht="96" x14ac:dyDescent="0.2">
      <c r="A124" s="9" t="s">
        <v>20</v>
      </c>
      <c r="B124" s="10" t="s">
        <v>265</v>
      </c>
      <c r="C124" s="8">
        <v>23</v>
      </c>
      <c r="D124" s="11" t="s">
        <v>34</v>
      </c>
      <c r="E124" s="12">
        <v>8</v>
      </c>
      <c r="F124" s="12">
        <v>184</v>
      </c>
      <c r="G124" s="8">
        <v>17</v>
      </c>
      <c r="H124" s="8">
        <v>26</v>
      </c>
      <c r="I124" s="8">
        <v>36</v>
      </c>
      <c r="J124" s="55">
        <f>C124*0.038*0.025</f>
        <v>2.1850000000000001E-2</v>
      </c>
      <c r="K124" s="8">
        <v>1600</v>
      </c>
      <c r="N124" s="8">
        <v>7.0000000000000001E-3</v>
      </c>
      <c r="O124" s="8">
        <v>3.5000000000000003E-2</v>
      </c>
      <c r="P124" s="8">
        <v>6.3E-2</v>
      </c>
      <c r="R124" s="8">
        <f t="shared" si="36"/>
        <v>0.24472000000000005</v>
      </c>
      <c r="S124" s="8">
        <f t="shared" si="37"/>
        <v>1.2236000000000002</v>
      </c>
      <c r="T124" s="8">
        <f t="shared" si="38"/>
        <v>2.20248</v>
      </c>
      <c r="V124" s="13">
        <v>0.1</v>
      </c>
      <c r="W124" s="13">
        <v>0.5</v>
      </c>
      <c r="X124" s="13">
        <v>1</v>
      </c>
    </row>
    <row r="125" spans="1:24" ht="96" x14ac:dyDescent="0.2">
      <c r="A125" s="9" t="s">
        <v>21</v>
      </c>
      <c r="B125" s="10" t="s">
        <v>266</v>
      </c>
      <c r="C125" s="8">
        <v>318</v>
      </c>
      <c r="D125" s="11" t="s">
        <v>34</v>
      </c>
      <c r="E125" s="12">
        <v>13</v>
      </c>
      <c r="F125" s="12">
        <v>4134</v>
      </c>
      <c r="G125" s="8">
        <v>17</v>
      </c>
      <c r="H125" s="8">
        <v>26</v>
      </c>
      <c r="I125" s="8">
        <v>36</v>
      </c>
      <c r="J125" s="55">
        <f>0.45*0.45*318</f>
        <v>64.39500000000001</v>
      </c>
      <c r="K125" s="8">
        <v>1600</v>
      </c>
      <c r="N125" s="8">
        <v>7.0000000000000001E-3</v>
      </c>
      <c r="O125" s="8">
        <v>3.5000000000000003E-2</v>
      </c>
      <c r="P125" s="8">
        <v>6.3E-2</v>
      </c>
      <c r="R125" s="8">
        <f t="shared" si="36"/>
        <v>721.22400000000016</v>
      </c>
      <c r="S125" s="8">
        <f t="shared" si="37"/>
        <v>3606.1200000000013</v>
      </c>
      <c r="T125" s="8">
        <f t="shared" si="38"/>
        <v>6491.0160000000005</v>
      </c>
      <c r="V125" s="13">
        <v>0.1</v>
      </c>
      <c r="W125" s="13">
        <v>0.5</v>
      </c>
      <c r="X125" s="13">
        <v>1</v>
      </c>
    </row>
    <row r="126" spans="1:24" ht="96" x14ac:dyDescent="0.2">
      <c r="A126" s="9" t="s">
        <v>22</v>
      </c>
      <c r="B126" s="10" t="s">
        <v>267</v>
      </c>
      <c r="C126" s="8">
        <v>60</v>
      </c>
      <c r="D126" s="11" t="s">
        <v>34</v>
      </c>
      <c r="E126" s="12">
        <v>23</v>
      </c>
      <c r="F126" s="12">
        <v>1380</v>
      </c>
      <c r="G126" s="8">
        <v>17</v>
      </c>
      <c r="H126" s="8">
        <v>26</v>
      </c>
      <c r="I126" s="8">
        <v>36</v>
      </c>
      <c r="K126" s="8">
        <v>1600</v>
      </c>
      <c r="N126" s="8">
        <v>7.0000000000000001E-3</v>
      </c>
      <c r="O126" s="8">
        <v>3.5000000000000003E-2</v>
      </c>
      <c r="P126" s="8">
        <v>6.3E-2</v>
      </c>
      <c r="V126" s="13">
        <v>0.1</v>
      </c>
      <c r="W126" s="13">
        <v>0.5</v>
      </c>
      <c r="X126" s="13">
        <v>1</v>
      </c>
    </row>
    <row r="127" spans="1:24" ht="48" x14ac:dyDescent="0.2">
      <c r="A127" s="9" t="s">
        <v>6</v>
      </c>
      <c r="B127" s="10" t="s">
        <v>268</v>
      </c>
      <c r="C127" s="8">
        <v>103</v>
      </c>
      <c r="D127" s="11" t="s">
        <v>34</v>
      </c>
      <c r="E127" s="12">
        <v>31</v>
      </c>
      <c r="F127" s="12">
        <v>3193</v>
      </c>
      <c r="G127" s="8">
        <v>17</v>
      </c>
      <c r="H127" s="8">
        <v>26</v>
      </c>
      <c r="I127" s="8">
        <v>36</v>
      </c>
      <c r="K127" s="8">
        <v>1600</v>
      </c>
      <c r="N127" s="8">
        <v>7.0000000000000001E-3</v>
      </c>
      <c r="O127" s="8">
        <v>3.5000000000000003E-2</v>
      </c>
      <c r="P127" s="8">
        <v>6.3E-2</v>
      </c>
      <c r="V127" s="13">
        <v>0.1</v>
      </c>
      <c r="W127" s="13">
        <v>0.5</v>
      </c>
      <c r="X127" s="13">
        <v>1</v>
      </c>
    </row>
    <row r="128" spans="1:24" ht="32" x14ac:dyDescent="0.2">
      <c r="A128" s="9" t="s">
        <v>9</v>
      </c>
      <c r="B128" s="10" t="s">
        <v>269</v>
      </c>
      <c r="C128" s="8">
        <v>185</v>
      </c>
      <c r="D128" s="11" t="s">
        <v>34</v>
      </c>
      <c r="E128" s="12">
        <v>45</v>
      </c>
      <c r="F128" s="12">
        <v>8325</v>
      </c>
      <c r="G128" s="8">
        <v>17</v>
      </c>
      <c r="H128" s="8">
        <v>26</v>
      </c>
      <c r="I128" s="8">
        <v>36</v>
      </c>
      <c r="K128" s="8">
        <v>1600</v>
      </c>
      <c r="N128" s="8">
        <v>7.0000000000000001E-3</v>
      </c>
      <c r="O128" s="8">
        <v>3.5000000000000003E-2</v>
      </c>
      <c r="P128" s="8">
        <v>6.3E-2</v>
      </c>
      <c r="V128" s="13">
        <v>0.1</v>
      </c>
      <c r="W128" s="13">
        <v>0.5</v>
      </c>
      <c r="X128" s="13">
        <v>1</v>
      </c>
    </row>
    <row r="129" spans="1:24" ht="48" x14ac:dyDescent="0.2">
      <c r="A129" s="9" t="s">
        <v>10</v>
      </c>
      <c r="B129" s="10" t="s">
        <v>270</v>
      </c>
      <c r="C129" s="8">
        <v>54</v>
      </c>
      <c r="D129" s="11" t="s">
        <v>34</v>
      </c>
      <c r="E129" s="12">
        <v>34</v>
      </c>
      <c r="F129" s="12">
        <v>1836</v>
      </c>
      <c r="G129" s="8">
        <v>17</v>
      </c>
      <c r="H129" s="8">
        <v>26</v>
      </c>
      <c r="I129" s="8">
        <v>36</v>
      </c>
      <c r="K129" s="8">
        <v>1600</v>
      </c>
      <c r="N129" s="8">
        <v>7.0000000000000001E-3</v>
      </c>
      <c r="O129" s="8">
        <v>3.5000000000000003E-2</v>
      </c>
      <c r="P129" s="8">
        <v>6.3E-2</v>
      </c>
      <c r="V129" s="13">
        <v>0.1</v>
      </c>
      <c r="W129" s="13">
        <v>0.5</v>
      </c>
      <c r="X129" s="13">
        <v>1</v>
      </c>
    </row>
    <row r="130" spans="1:24" ht="16" x14ac:dyDescent="0.2">
      <c r="A130" s="9" t="s">
        <v>11</v>
      </c>
      <c r="B130" s="10" t="s">
        <v>271</v>
      </c>
      <c r="C130" s="8">
        <v>1</v>
      </c>
      <c r="D130" s="11" t="s">
        <v>7</v>
      </c>
      <c r="E130" s="12">
        <v>100</v>
      </c>
      <c r="F130" s="12">
        <v>100</v>
      </c>
      <c r="G130" s="8">
        <v>17</v>
      </c>
      <c r="H130" s="8">
        <v>26</v>
      </c>
      <c r="I130" s="8">
        <v>36</v>
      </c>
      <c r="K130" s="8">
        <v>1600</v>
      </c>
      <c r="N130" s="8">
        <v>7.0000000000000001E-3</v>
      </c>
      <c r="O130" s="8">
        <v>3.5000000000000003E-2</v>
      </c>
      <c r="P130" s="8">
        <v>6.3E-2</v>
      </c>
      <c r="V130" s="13">
        <v>0.1</v>
      </c>
      <c r="W130" s="13">
        <v>0.5</v>
      </c>
      <c r="X130" s="13">
        <v>1</v>
      </c>
    </row>
    <row r="131" spans="1:24" ht="16" x14ac:dyDescent="0.2">
      <c r="A131" s="9" t="s">
        <v>12</v>
      </c>
      <c r="B131" s="10" t="s">
        <v>272</v>
      </c>
      <c r="C131" s="8">
        <v>36</v>
      </c>
      <c r="D131" s="11" t="s">
        <v>36</v>
      </c>
      <c r="E131" s="12">
        <v>7</v>
      </c>
      <c r="F131" s="12">
        <v>252</v>
      </c>
      <c r="G131" s="8">
        <v>17</v>
      </c>
      <c r="H131" s="8">
        <v>26</v>
      </c>
      <c r="I131" s="8">
        <v>36</v>
      </c>
      <c r="J131" s="55">
        <f>0.3*0.15*0.05*36</f>
        <v>8.0999999999999989E-2</v>
      </c>
      <c r="K131" s="8">
        <v>7870</v>
      </c>
      <c r="N131" s="8">
        <v>2.0299999999999998</v>
      </c>
      <c r="O131" s="8">
        <v>2.0299999999999998</v>
      </c>
      <c r="P131" s="8">
        <v>2.0299999999999998</v>
      </c>
      <c r="R131" s="8">
        <f>N131*K131*J131</f>
        <v>1294.0640999999996</v>
      </c>
      <c r="S131" s="8">
        <f>O131*K131*J131</f>
        <v>1294.0640999999996</v>
      </c>
      <c r="T131" s="8">
        <f>P131*K131*J131</f>
        <v>1294.0640999999996</v>
      </c>
      <c r="V131" s="13">
        <v>11.7</v>
      </c>
      <c r="W131" s="13">
        <v>24.62</v>
      </c>
      <c r="X131" s="13">
        <v>36.299999999999997</v>
      </c>
    </row>
    <row r="132" spans="1:24" ht="96" x14ac:dyDescent="0.2">
      <c r="A132" s="9" t="s">
        <v>13</v>
      </c>
      <c r="B132" s="10" t="s">
        <v>273</v>
      </c>
      <c r="C132" s="8">
        <v>15</v>
      </c>
      <c r="D132" s="11" t="s">
        <v>34</v>
      </c>
      <c r="E132" s="12">
        <v>53</v>
      </c>
      <c r="F132" s="12">
        <v>795</v>
      </c>
      <c r="G132" s="8">
        <v>32</v>
      </c>
      <c r="H132" s="8">
        <v>60</v>
      </c>
      <c r="I132" s="8">
        <v>82</v>
      </c>
      <c r="J132" s="55">
        <f>C132*0.35*1.8*0.001</f>
        <v>9.4500000000000018E-3</v>
      </c>
      <c r="K132" s="8">
        <v>11340</v>
      </c>
      <c r="N132" s="8">
        <v>1.67</v>
      </c>
      <c r="O132" s="8">
        <v>1.67</v>
      </c>
      <c r="P132" s="8">
        <v>1.67</v>
      </c>
      <c r="R132" s="8">
        <f t="shared" ref="R132:R138" si="39">N132*K132*J132</f>
        <v>178.96221000000003</v>
      </c>
      <c r="S132" s="8">
        <f t="shared" ref="S132:S138" si="40">O132*K132*J132</f>
        <v>178.96221000000003</v>
      </c>
      <c r="T132" s="8">
        <f t="shared" ref="T132:T138" si="41">P132*K132*J132</f>
        <v>178.96221000000003</v>
      </c>
      <c r="V132" s="13">
        <v>16</v>
      </c>
      <c r="W132" s="13">
        <v>25.2</v>
      </c>
      <c r="X132" s="13">
        <v>33</v>
      </c>
    </row>
    <row r="133" spans="1:24" ht="96" x14ac:dyDescent="0.2">
      <c r="A133" s="9" t="s">
        <v>14</v>
      </c>
      <c r="B133" s="10" t="s">
        <v>274</v>
      </c>
      <c r="C133" s="8">
        <v>7</v>
      </c>
      <c r="D133" s="11" t="s">
        <v>34</v>
      </c>
      <c r="E133" s="12">
        <v>33</v>
      </c>
      <c r="F133" s="12">
        <v>231</v>
      </c>
      <c r="G133" s="8">
        <v>32</v>
      </c>
      <c r="H133" s="8">
        <v>60</v>
      </c>
      <c r="I133" s="8">
        <v>82</v>
      </c>
      <c r="J133" s="55">
        <f>C133*0.3*1.8*0.001</f>
        <v>3.7800000000000004E-3</v>
      </c>
      <c r="K133" s="8">
        <v>11340</v>
      </c>
      <c r="N133" s="8">
        <v>1.67</v>
      </c>
      <c r="O133" s="8">
        <v>1.67</v>
      </c>
      <c r="P133" s="8">
        <v>1.67</v>
      </c>
      <c r="R133" s="8">
        <f t="shared" si="39"/>
        <v>71.584884000000002</v>
      </c>
      <c r="S133" s="8">
        <f t="shared" si="40"/>
        <v>71.584884000000002</v>
      </c>
      <c r="T133" s="8">
        <f t="shared" si="41"/>
        <v>71.584884000000002</v>
      </c>
      <c r="V133" s="13">
        <v>16</v>
      </c>
      <c r="W133" s="13">
        <v>25.2</v>
      </c>
      <c r="X133" s="13">
        <v>33</v>
      </c>
    </row>
    <row r="134" spans="1:24" ht="96" x14ac:dyDescent="0.2">
      <c r="A134" s="9" t="s">
        <v>15</v>
      </c>
      <c r="B134" s="10" t="s">
        <v>275</v>
      </c>
      <c r="C134" s="8">
        <v>42</v>
      </c>
      <c r="D134" s="11" t="s">
        <v>34</v>
      </c>
      <c r="E134" s="12">
        <v>33</v>
      </c>
      <c r="F134" s="12">
        <v>1386</v>
      </c>
      <c r="G134" s="8">
        <v>32</v>
      </c>
      <c r="H134" s="8">
        <v>60</v>
      </c>
      <c r="I134" s="8">
        <v>82</v>
      </c>
      <c r="J134" s="55">
        <f>C134*0.3*1.8*0.001</f>
        <v>2.2679999999999999E-2</v>
      </c>
      <c r="K134" s="8">
        <v>11340</v>
      </c>
      <c r="N134" s="8">
        <v>1.67</v>
      </c>
      <c r="O134" s="8">
        <v>1.67</v>
      </c>
      <c r="P134" s="8">
        <v>1.67</v>
      </c>
      <c r="R134" s="8">
        <f t="shared" si="39"/>
        <v>429.50930399999999</v>
      </c>
      <c r="S134" s="8">
        <f t="shared" si="40"/>
        <v>429.50930399999999</v>
      </c>
      <c r="T134" s="8">
        <f t="shared" si="41"/>
        <v>429.50930399999999</v>
      </c>
      <c r="V134" s="13">
        <v>16</v>
      </c>
      <c r="W134" s="13">
        <v>25.2</v>
      </c>
      <c r="X134" s="13">
        <v>33</v>
      </c>
    </row>
    <row r="135" spans="1:24" ht="96" x14ac:dyDescent="0.2">
      <c r="A135" s="9" t="s">
        <v>16</v>
      </c>
      <c r="B135" s="10" t="s">
        <v>276</v>
      </c>
      <c r="C135" s="8">
        <v>61</v>
      </c>
      <c r="D135" s="11" t="s">
        <v>36</v>
      </c>
      <c r="E135" s="12">
        <v>5</v>
      </c>
      <c r="F135" s="12">
        <v>305</v>
      </c>
      <c r="G135" s="8">
        <v>32</v>
      </c>
      <c r="H135" s="8">
        <v>60</v>
      </c>
      <c r="I135" s="8">
        <v>82</v>
      </c>
      <c r="J135" s="55">
        <f>1.8*0.001*0.3*0.4*61</f>
        <v>1.3176000000000002E-2</v>
      </c>
      <c r="K135" s="8">
        <v>11340</v>
      </c>
      <c r="N135" s="8">
        <v>1.67</v>
      </c>
      <c r="O135" s="8">
        <v>1.67</v>
      </c>
      <c r="P135" s="8">
        <v>1.67</v>
      </c>
      <c r="R135" s="8">
        <f t="shared" si="39"/>
        <v>249.52445280000003</v>
      </c>
      <c r="S135" s="8">
        <f t="shared" si="40"/>
        <v>249.52445280000003</v>
      </c>
      <c r="T135" s="8">
        <f t="shared" si="41"/>
        <v>249.52445280000003</v>
      </c>
      <c r="V135" s="13">
        <v>15</v>
      </c>
      <c r="W135" s="13">
        <v>25.2</v>
      </c>
      <c r="X135" s="13">
        <v>33</v>
      </c>
    </row>
    <row r="136" spans="1:24" ht="96" x14ac:dyDescent="0.2">
      <c r="A136" s="9" t="s">
        <v>17</v>
      </c>
      <c r="B136" s="10" t="s">
        <v>277</v>
      </c>
      <c r="C136" s="8">
        <v>54</v>
      </c>
      <c r="D136" s="11" t="s">
        <v>34</v>
      </c>
      <c r="E136" s="12">
        <v>69</v>
      </c>
      <c r="F136" s="12">
        <v>3726</v>
      </c>
      <c r="G136" s="8">
        <v>32</v>
      </c>
      <c r="H136" s="8">
        <v>60</v>
      </c>
      <c r="I136" s="8">
        <v>82</v>
      </c>
      <c r="J136" s="55">
        <f>C136*0.45*2.24*0.001</f>
        <v>5.4432000000000008E-2</v>
      </c>
      <c r="K136" s="8">
        <v>11340</v>
      </c>
      <c r="N136" s="8">
        <v>1.67</v>
      </c>
      <c r="O136" s="8">
        <v>1.67</v>
      </c>
      <c r="P136" s="8">
        <v>1.67</v>
      </c>
      <c r="R136" s="8">
        <f t="shared" si="39"/>
        <v>1030.8223296000001</v>
      </c>
      <c r="S136" s="8">
        <f t="shared" si="40"/>
        <v>1030.8223296000001</v>
      </c>
      <c r="T136" s="8">
        <f t="shared" si="41"/>
        <v>1030.8223296000001</v>
      </c>
      <c r="V136" s="13">
        <v>15</v>
      </c>
      <c r="W136" s="13">
        <v>25.2</v>
      </c>
      <c r="X136" s="13">
        <v>33</v>
      </c>
    </row>
    <row r="137" spans="1:24" ht="48" x14ac:dyDescent="0.2">
      <c r="A137" s="9" t="s">
        <v>6</v>
      </c>
      <c r="B137" s="10" t="s">
        <v>278</v>
      </c>
      <c r="C137" s="8">
        <v>64</v>
      </c>
      <c r="D137" s="11" t="s">
        <v>34</v>
      </c>
      <c r="E137" s="12">
        <v>69</v>
      </c>
      <c r="F137" s="12">
        <v>4416</v>
      </c>
      <c r="G137" s="8">
        <v>32</v>
      </c>
      <c r="H137" s="8">
        <v>60</v>
      </c>
      <c r="I137" s="8">
        <v>82</v>
      </c>
      <c r="J137" s="55">
        <f>C137*0.45*2.24*0.001</f>
        <v>6.4512000000000014E-2</v>
      </c>
      <c r="K137" s="8">
        <v>11340</v>
      </c>
      <c r="N137" s="8">
        <v>1.67</v>
      </c>
      <c r="O137" s="8">
        <v>1.67</v>
      </c>
      <c r="P137" s="8">
        <v>1.67</v>
      </c>
      <c r="R137" s="8">
        <f t="shared" si="39"/>
        <v>1221.7153536000003</v>
      </c>
      <c r="S137" s="8">
        <f t="shared" si="40"/>
        <v>1221.7153536000003</v>
      </c>
      <c r="T137" s="8">
        <f t="shared" si="41"/>
        <v>1221.7153536000003</v>
      </c>
      <c r="V137" s="13">
        <v>15</v>
      </c>
      <c r="W137" s="13">
        <v>25.2</v>
      </c>
      <c r="X137" s="13">
        <v>33</v>
      </c>
    </row>
    <row r="138" spans="1:24" ht="112" x14ac:dyDescent="0.2">
      <c r="A138" s="9" t="s">
        <v>9</v>
      </c>
      <c r="B138" s="10" t="s">
        <v>279</v>
      </c>
      <c r="C138" s="8">
        <v>44</v>
      </c>
      <c r="D138" s="11" t="s">
        <v>35</v>
      </c>
      <c r="E138" s="12">
        <v>81</v>
      </c>
      <c r="F138" s="12">
        <v>3564</v>
      </c>
      <c r="G138" s="8">
        <v>17</v>
      </c>
      <c r="H138" s="8">
        <v>30</v>
      </c>
      <c r="I138" s="8">
        <v>43</v>
      </c>
      <c r="J138" s="55">
        <f>C138*1.2*0.001</f>
        <v>5.28E-2</v>
      </c>
      <c r="K138" s="8">
        <v>1380</v>
      </c>
      <c r="N138" s="8">
        <v>3.1</v>
      </c>
      <c r="O138" s="8">
        <v>3.1</v>
      </c>
      <c r="P138" s="8">
        <v>3.1</v>
      </c>
      <c r="R138" s="8">
        <f t="shared" si="39"/>
        <v>225.8784</v>
      </c>
      <c r="S138" s="8">
        <f t="shared" si="40"/>
        <v>225.8784</v>
      </c>
      <c r="T138" s="8">
        <f t="shared" si="41"/>
        <v>225.8784</v>
      </c>
      <c r="V138" s="13">
        <v>54.04</v>
      </c>
      <c r="W138" s="13">
        <v>77.2</v>
      </c>
      <c r="X138" s="13">
        <v>100.36</v>
      </c>
    </row>
    <row r="139" spans="1:24" ht="112" x14ac:dyDescent="0.2">
      <c r="A139" s="9" t="s">
        <v>10</v>
      </c>
      <c r="B139" s="10" t="s">
        <v>280</v>
      </c>
      <c r="C139" s="8">
        <v>32</v>
      </c>
      <c r="D139" s="11" t="s">
        <v>35</v>
      </c>
      <c r="E139" s="12">
        <v>81</v>
      </c>
      <c r="F139" s="12">
        <v>2592</v>
      </c>
      <c r="G139" s="8">
        <v>17</v>
      </c>
      <c r="H139" s="8">
        <v>30</v>
      </c>
      <c r="I139" s="8">
        <v>43</v>
      </c>
      <c r="J139" s="55">
        <f>C139*1.2*0.001</f>
        <v>3.8399999999999997E-2</v>
      </c>
      <c r="K139" s="8">
        <v>1380</v>
      </c>
      <c r="N139" s="8">
        <v>3.1</v>
      </c>
      <c r="O139" s="8">
        <v>3.1</v>
      </c>
      <c r="P139" s="8">
        <v>3.1</v>
      </c>
      <c r="R139" s="8">
        <f t="shared" ref="R139:R143" si="42">N139*K139*J139</f>
        <v>164.27519999999998</v>
      </c>
      <c r="S139" s="8">
        <f t="shared" ref="S139:S143" si="43">O139*K139*J139</f>
        <v>164.27519999999998</v>
      </c>
      <c r="T139" s="8">
        <f t="shared" ref="T139:T143" si="44">P139*K139*J139</f>
        <v>164.27519999999998</v>
      </c>
      <c r="V139" s="13">
        <v>54.04</v>
      </c>
      <c r="W139" s="13">
        <v>77.2</v>
      </c>
      <c r="X139" s="13">
        <v>100.36</v>
      </c>
    </row>
    <row r="140" spans="1:24" ht="80" x14ac:dyDescent="0.2">
      <c r="A140" s="9" t="s">
        <v>11</v>
      </c>
      <c r="B140" s="10" t="s">
        <v>281</v>
      </c>
      <c r="C140" s="8">
        <v>42</v>
      </c>
      <c r="D140" s="11" t="s">
        <v>34</v>
      </c>
      <c r="E140" s="12">
        <v>30</v>
      </c>
      <c r="F140" s="12">
        <v>1260</v>
      </c>
      <c r="G140" s="8">
        <v>17</v>
      </c>
      <c r="H140" s="8">
        <v>30</v>
      </c>
      <c r="I140" s="8">
        <v>43</v>
      </c>
      <c r="J140" s="55">
        <f>C140*0.2*18*0.001</f>
        <v>0.15120000000000003</v>
      </c>
      <c r="K140" s="8">
        <v>1380</v>
      </c>
      <c r="N140" s="8">
        <v>3.1</v>
      </c>
      <c r="O140" s="8">
        <v>3.1</v>
      </c>
      <c r="P140" s="8">
        <v>3.1</v>
      </c>
      <c r="R140" s="8">
        <f t="shared" si="42"/>
        <v>646.83360000000016</v>
      </c>
      <c r="S140" s="8">
        <f t="shared" si="43"/>
        <v>646.83360000000016</v>
      </c>
      <c r="T140" s="8">
        <f t="shared" si="44"/>
        <v>646.83360000000016</v>
      </c>
      <c r="V140" s="13">
        <v>54.04</v>
      </c>
      <c r="W140" s="13">
        <v>77.2</v>
      </c>
      <c r="X140" s="13">
        <v>100.36</v>
      </c>
    </row>
    <row r="141" spans="1:24" ht="64" x14ac:dyDescent="0.2">
      <c r="A141" s="9" t="s">
        <v>12</v>
      </c>
      <c r="B141" s="10" t="s">
        <v>282</v>
      </c>
      <c r="C141" s="8">
        <v>44</v>
      </c>
      <c r="D141" s="11" t="s">
        <v>34</v>
      </c>
      <c r="E141" s="12">
        <v>30</v>
      </c>
      <c r="F141" s="12">
        <v>1320</v>
      </c>
      <c r="G141" s="8">
        <v>17</v>
      </c>
      <c r="H141" s="8">
        <v>30</v>
      </c>
      <c r="I141" s="8">
        <v>43</v>
      </c>
      <c r="J141" s="55">
        <f>C141*0.5*1.8*0.001</f>
        <v>3.9600000000000003E-2</v>
      </c>
      <c r="K141" s="8">
        <v>1380</v>
      </c>
      <c r="N141" s="8">
        <v>3.1</v>
      </c>
      <c r="O141" s="8">
        <v>3.1</v>
      </c>
      <c r="P141" s="8">
        <v>3.1</v>
      </c>
      <c r="R141" s="8">
        <f t="shared" si="42"/>
        <v>169.40880000000001</v>
      </c>
      <c r="S141" s="8">
        <f t="shared" si="43"/>
        <v>169.40880000000001</v>
      </c>
      <c r="T141" s="8">
        <f t="shared" si="44"/>
        <v>169.40880000000001</v>
      </c>
      <c r="V141" s="13">
        <v>54.04</v>
      </c>
      <c r="W141" s="13">
        <v>77.2</v>
      </c>
      <c r="X141" s="13">
        <v>100.36</v>
      </c>
    </row>
    <row r="142" spans="1:24" ht="64" x14ac:dyDescent="0.2">
      <c r="A142" s="9" t="s">
        <v>13</v>
      </c>
      <c r="B142" s="10" t="s">
        <v>283</v>
      </c>
      <c r="C142" s="8">
        <v>9</v>
      </c>
      <c r="D142" s="11" t="s">
        <v>34</v>
      </c>
      <c r="E142" s="12">
        <v>30</v>
      </c>
      <c r="F142" s="12">
        <v>270</v>
      </c>
      <c r="G142" s="8">
        <v>17</v>
      </c>
      <c r="H142" s="8">
        <v>30</v>
      </c>
      <c r="I142" s="8">
        <v>43</v>
      </c>
      <c r="J142" s="55">
        <f>9*0.4*1.8*0.001</f>
        <v>6.4800000000000005E-3</v>
      </c>
      <c r="K142" s="8">
        <v>1380</v>
      </c>
      <c r="N142" s="8">
        <v>3.1</v>
      </c>
      <c r="O142" s="8">
        <v>3.1</v>
      </c>
      <c r="P142" s="8">
        <v>3.1</v>
      </c>
      <c r="R142" s="8">
        <f t="shared" si="42"/>
        <v>27.721440000000001</v>
      </c>
      <c r="S142" s="8">
        <f t="shared" si="43"/>
        <v>27.721440000000001</v>
      </c>
      <c r="T142" s="8">
        <f t="shared" si="44"/>
        <v>27.721440000000001</v>
      </c>
      <c r="V142" s="13">
        <v>54.04</v>
      </c>
      <c r="W142" s="13">
        <v>77.2</v>
      </c>
      <c r="X142" s="13">
        <v>100.36</v>
      </c>
    </row>
    <row r="143" spans="1:24" ht="48" x14ac:dyDescent="0.2">
      <c r="A143" s="9" t="s">
        <v>14</v>
      </c>
      <c r="B143" s="10" t="s">
        <v>284</v>
      </c>
      <c r="C143" s="8">
        <v>34</v>
      </c>
      <c r="D143" s="11" t="s">
        <v>35</v>
      </c>
      <c r="E143" s="12">
        <v>40</v>
      </c>
      <c r="F143" s="12">
        <v>1360</v>
      </c>
      <c r="G143" s="8">
        <v>50</v>
      </c>
      <c r="H143" s="8">
        <v>75</v>
      </c>
      <c r="I143" s="8">
        <v>100</v>
      </c>
      <c r="J143" s="55">
        <f>C143*60*0.001</f>
        <v>2.04</v>
      </c>
      <c r="K143" s="8">
        <v>1380</v>
      </c>
      <c r="N143" s="8">
        <v>3.1</v>
      </c>
      <c r="O143" s="8">
        <v>3.1</v>
      </c>
      <c r="P143" s="8">
        <v>3.1</v>
      </c>
      <c r="R143" s="8">
        <f t="shared" si="42"/>
        <v>8727.1200000000008</v>
      </c>
      <c r="S143" s="8">
        <f t="shared" si="43"/>
        <v>8727.1200000000008</v>
      </c>
      <c r="T143" s="8">
        <f t="shared" si="44"/>
        <v>8727.1200000000008</v>
      </c>
      <c r="V143" s="13">
        <v>54.04</v>
      </c>
      <c r="W143" s="13">
        <v>77.2</v>
      </c>
      <c r="X143" s="13">
        <v>100.36</v>
      </c>
    </row>
    <row r="144" spans="1:24" ht="64" x14ac:dyDescent="0.2">
      <c r="A144" s="9" t="s">
        <v>6</v>
      </c>
      <c r="B144" s="10" t="s">
        <v>285</v>
      </c>
      <c r="C144" s="8">
        <v>318</v>
      </c>
      <c r="D144" s="11" t="s">
        <v>34</v>
      </c>
      <c r="E144" s="12">
        <v>8.15</v>
      </c>
      <c r="F144" s="12">
        <v>2591.6999999999998</v>
      </c>
      <c r="G144" s="8">
        <v>5</v>
      </c>
      <c r="H144" s="8">
        <v>10</v>
      </c>
      <c r="I144" s="8">
        <v>15</v>
      </c>
      <c r="J144" s="55">
        <f>C144*0.25*22*0.001</f>
        <v>1.7490000000000001</v>
      </c>
      <c r="K144" s="8">
        <v>630</v>
      </c>
      <c r="N144" s="13">
        <v>0.59</v>
      </c>
      <c r="O144" s="13">
        <v>0.59</v>
      </c>
      <c r="P144" s="13">
        <v>0.59</v>
      </c>
      <c r="R144" s="8">
        <f t="shared" ref="R144:R150" si="45">N144*K144*J144</f>
        <v>650.10329999999999</v>
      </c>
      <c r="S144" s="8">
        <f t="shared" ref="S144:S150" si="46">O144*K144*J144</f>
        <v>650.10329999999999</v>
      </c>
      <c r="T144" s="8">
        <f t="shared" ref="T144:T150" si="47">P144*K144*J144</f>
        <v>650.10329999999999</v>
      </c>
      <c r="V144" s="13">
        <v>0.72</v>
      </c>
      <c r="W144" s="13">
        <v>7.4</v>
      </c>
      <c r="X144" s="13">
        <v>13</v>
      </c>
    </row>
    <row r="145" spans="1:25" ht="64" x14ac:dyDescent="0.2">
      <c r="A145" s="9" t="s">
        <v>9</v>
      </c>
      <c r="B145" s="10" t="s">
        <v>286</v>
      </c>
      <c r="C145" s="8">
        <v>60</v>
      </c>
      <c r="D145" s="11" t="s">
        <v>34</v>
      </c>
      <c r="E145" s="12">
        <v>9.15</v>
      </c>
      <c r="F145" s="12">
        <v>549</v>
      </c>
      <c r="G145" s="8">
        <v>5</v>
      </c>
      <c r="H145" s="8">
        <v>10</v>
      </c>
      <c r="I145" s="8">
        <v>15</v>
      </c>
      <c r="J145" s="55">
        <f>C145*0.25*22*0.001</f>
        <v>0.33</v>
      </c>
      <c r="K145" s="8">
        <v>630</v>
      </c>
      <c r="N145" s="13">
        <v>0.59</v>
      </c>
      <c r="O145" s="13">
        <v>0.59</v>
      </c>
      <c r="P145" s="13">
        <v>0.59</v>
      </c>
      <c r="R145" s="8">
        <f t="shared" si="45"/>
        <v>122.661</v>
      </c>
      <c r="S145" s="8">
        <f t="shared" si="46"/>
        <v>122.661</v>
      </c>
      <c r="T145" s="8">
        <f t="shared" si="47"/>
        <v>122.661</v>
      </c>
      <c r="V145" s="13">
        <v>0.72</v>
      </c>
      <c r="W145" s="13">
        <v>7.4</v>
      </c>
      <c r="X145" s="13">
        <v>13</v>
      </c>
    </row>
    <row r="146" spans="1:25" ht="80" x14ac:dyDescent="0.2">
      <c r="A146" s="9" t="s">
        <v>10</v>
      </c>
      <c r="B146" s="10" t="s">
        <v>287</v>
      </c>
      <c r="C146" s="8">
        <v>378</v>
      </c>
      <c r="D146" s="11" t="s">
        <v>34</v>
      </c>
      <c r="E146" s="12">
        <v>9.15</v>
      </c>
      <c r="F146" s="12">
        <v>3458.7</v>
      </c>
      <c r="G146" s="8">
        <v>5</v>
      </c>
      <c r="H146" s="8">
        <v>10</v>
      </c>
      <c r="I146" s="8">
        <v>15</v>
      </c>
      <c r="J146" s="55">
        <f>C146*0.25*15*0.001</f>
        <v>1.4175</v>
      </c>
      <c r="K146" s="8">
        <v>630</v>
      </c>
      <c r="N146" s="13">
        <v>0.59</v>
      </c>
      <c r="O146" s="13">
        <v>0.59</v>
      </c>
      <c r="P146" s="13">
        <v>0.59</v>
      </c>
      <c r="R146" s="8">
        <f t="shared" si="45"/>
        <v>526.88474999999994</v>
      </c>
      <c r="S146" s="8">
        <f t="shared" si="46"/>
        <v>526.88474999999994</v>
      </c>
      <c r="T146" s="8">
        <f t="shared" si="47"/>
        <v>526.88474999999994</v>
      </c>
      <c r="V146" s="13">
        <v>0.72</v>
      </c>
      <c r="W146" s="13">
        <v>7.4</v>
      </c>
      <c r="X146" s="13">
        <v>13</v>
      </c>
    </row>
    <row r="147" spans="1:25" ht="48" x14ac:dyDescent="0.2">
      <c r="A147" s="9" t="s">
        <v>11</v>
      </c>
      <c r="B147" s="10" t="s">
        <v>288</v>
      </c>
      <c r="C147" s="8">
        <v>40</v>
      </c>
      <c r="D147" s="11" t="s">
        <v>35</v>
      </c>
      <c r="E147" s="12">
        <v>25.64</v>
      </c>
      <c r="F147" s="12">
        <v>1025.5999999999999</v>
      </c>
      <c r="G147" s="8">
        <v>41</v>
      </c>
      <c r="H147" s="8">
        <v>68</v>
      </c>
      <c r="I147" s="8">
        <v>107</v>
      </c>
      <c r="J147" s="55">
        <f>C147*18*0.001</f>
        <v>0.72</v>
      </c>
      <c r="K147" s="8">
        <v>700</v>
      </c>
      <c r="N147" s="13">
        <v>1.1000000000000001</v>
      </c>
      <c r="O147" s="13">
        <v>1.1000000000000001</v>
      </c>
      <c r="P147" s="13">
        <v>1.1000000000000001</v>
      </c>
      <c r="R147" s="8">
        <f t="shared" si="45"/>
        <v>554.40000000000009</v>
      </c>
      <c r="S147" s="8">
        <f t="shared" si="46"/>
        <v>554.40000000000009</v>
      </c>
      <c r="T147" s="8">
        <f t="shared" si="47"/>
        <v>554.40000000000009</v>
      </c>
      <c r="V147" s="13">
        <v>10</v>
      </c>
      <c r="W147" s="13">
        <v>15</v>
      </c>
      <c r="X147" s="13">
        <v>20</v>
      </c>
    </row>
    <row r="148" spans="1:25" ht="64" x14ac:dyDescent="0.2">
      <c r="A148" s="9" t="s">
        <v>12</v>
      </c>
      <c r="B148" s="10" t="s">
        <v>289</v>
      </c>
      <c r="C148" s="8">
        <v>25</v>
      </c>
      <c r="D148" s="11" t="s">
        <v>34</v>
      </c>
      <c r="E148" s="12">
        <v>11.29</v>
      </c>
      <c r="F148" s="12">
        <v>282.25</v>
      </c>
      <c r="G148" s="8">
        <v>41</v>
      </c>
      <c r="H148" s="8">
        <v>68</v>
      </c>
      <c r="I148" s="8">
        <v>107</v>
      </c>
      <c r="J148" s="55">
        <f>C148*0.3*18*0.001</f>
        <v>0.13500000000000001</v>
      </c>
      <c r="K148" s="8">
        <v>700</v>
      </c>
      <c r="N148" s="13">
        <v>1.1000000000000001</v>
      </c>
      <c r="O148" s="13">
        <v>1.1000000000000001</v>
      </c>
      <c r="P148" s="13">
        <v>1.1000000000000001</v>
      </c>
      <c r="R148" s="8">
        <f t="shared" si="45"/>
        <v>103.95000000000002</v>
      </c>
      <c r="S148" s="8">
        <f t="shared" si="46"/>
        <v>103.95000000000002</v>
      </c>
      <c r="T148" s="8">
        <f t="shared" si="47"/>
        <v>103.95000000000002</v>
      </c>
      <c r="V148" s="13">
        <v>10</v>
      </c>
      <c r="W148" s="13">
        <v>15</v>
      </c>
      <c r="X148" s="13">
        <v>20</v>
      </c>
    </row>
    <row r="149" spans="1:25" ht="64" x14ac:dyDescent="0.2">
      <c r="A149" s="9" t="s">
        <v>13</v>
      </c>
      <c r="B149" s="10" t="s">
        <v>290</v>
      </c>
      <c r="C149" s="8">
        <v>40</v>
      </c>
      <c r="D149" s="11" t="s">
        <v>35</v>
      </c>
      <c r="E149" s="12">
        <v>20.69</v>
      </c>
      <c r="F149" s="12">
        <v>827.6</v>
      </c>
      <c r="J149" s="55">
        <f>C149*10*0.001</f>
        <v>0.4</v>
      </c>
      <c r="K149" s="8">
        <v>1860</v>
      </c>
      <c r="N149" s="13">
        <v>0.74</v>
      </c>
      <c r="O149" s="13">
        <v>0.74</v>
      </c>
      <c r="P149" s="13">
        <v>0.74</v>
      </c>
      <c r="R149" s="8">
        <f t="shared" si="45"/>
        <v>550.56000000000006</v>
      </c>
      <c r="S149" s="8">
        <f t="shared" si="46"/>
        <v>550.56000000000006</v>
      </c>
      <c r="T149" s="8">
        <f t="shared" si="47"/>
        <v>550.56000000000006</v>
      </c>
      <c r="V149" s="13">
        <v>1.42</v>
      </c>
      <c r="W149" s="13">
        <v>5.32</v>
      </c>
      <c r="X149" s="13">
        <v>11.73</v>
      </c>
    </row>
    <row r="150" spans="1:25" ht="64" x14ac:dyDescent="0.2">
      <c r="A150" s="9" t="s">
        <v>14</v>
      </c>
      <c r="B150" s="10" t="s">
        <v>291</v>
      </c>
      <c r="C150" s="8">
        <v>25</v>
      </c>
      <c r="D150" s="11" t="s">
        <v>34</v>
      </c>
      <c r="E150" s="12">
        <v>12.17</v>
      </c>
      <c r="F150" s="12">
        <v>304.25</v>
      </c>
      <c r="J150" s="55">
        <f>C150*0.3*10*0.001</f>
        <v>7.4999999999999997E-2</v>
      </c>
      <c r="K150" s="8">
        <v>1860</v>
      </c>
      <c r="N150" s="13">
        <v>0.74</v>
      </c>
      <c r="O150" s="13">
        <v>0.74</v>
      </c>
      <c r="P150" s="13">
        <v>0.74</v>
      </c>
      <c r="R150" s="8">
        <f t="shared" si="45"/>
        <v>103.23</v>
      </c>
      <c r="S150" s="8">
        <f t="shared" si="46"/>
        <v>103.23</v>
      </c>
      <c r="T150" s="8">
        <f t="shared" si="47"/>
        <v>103.23</v>
      </c>
      <c r="V150" s="13">
        <v>1.42</v>
      </c>
      <c r="W150" s="13">
        <v>5.32</v>
      </c>
      <c r="X150" s="13">
        <v>11.73</v>
      </c>
    </row>
    <row r="151" spans="1:25" ht="64" x14ac:dyDescent="0.2">
      <c r="A151" s="9" t="s">
        <v>15</v>
      </c>
      <c r="B151" s="10" t="s">
        <v>292</v>
      </c>
      <c r="C151" s="8">
        <v>189</v>
      </c>
      <c r="D151" s="11" t="s">
        <v>35</v>
      </c>
      <c r="E151" s="12">
        <v>12.5</v>
      </c>
      <c r="F151" s="12">
        <v>2362.5</v>
      </c>
      <c r="G151" s="8">
        <v>6</v>
      </c>
      <c r="H151" s="8">
        <v>6</v>
      </c>
      <c r="I151" s="8">
        <v>6</v>
      </c>
      <c r="J151" s="57"/>
      <c r="N151" s="13">
        <v>0.87</v>
      </c>
      <c r="O151" s="13">
        <v>0.87</v>
      </c>
      <c r="P151" s="13">
        <v>0.87</v>
      </c>
      <c r="Q151" s="8" t="s">
        <v>919</v>
      </c>
      <c r="R151" s="8">
        <f>N151*C151</f>
        <v>164.43</v>
      </c>
      <c r="S151" s="8">
        <f>O151*C151</f>
        <v>164.43</v>
      </c>
      <c r="T151" s="8">
        <f>P151*C151</f>
        <v>164.43</v>
      </c>
      <c r="V151" s="13">
        <v>21</v>
      </c>
      <c r="W151" s="13">
        <v>21</v>
      </c>
      <c r="X151" s="13">
        <v>21</v>
      </c>
      <c r="Y151" s="8" t="s">
        <v>920</v>
      </c>
    </row>
    <row r="152" spans="1:25" ht="64" x14ac:dyDescent="0.2">
      <c r="A152" s="9" t="s">
        <v>16</v>
      </c>
      <c r="B152" s="10" t="s">
        <v>293</v>
      </c>
      <c r="C152" s="8">
        <v>429</v>
      </c>
      <c r="D152" s="11" t="s">
        <v>35</v>
      </c>
      <c r="E152" s="12">
        <v>2.1</v>
      </c>
      <c r="F152" s="12">
        <v>900.9</v>
      </c>
      <c r="G152" s="8">
        <v>50</v>
      </c>
      <c r="H152" s="8">
        <v>75</v>
      </c>
      <c r="I152" s="8">
        <v>100</v>
      </c>
      <c r="J152" s="55">
        <f>C152*0.15</f>
        <v>64.349999999999994</v>
      </c>
      <c r="K152" s="8">
        <v>100</v>
      </c>
      <c r="N152" s="8">
        <v>1.1200000000000001</v>
      </c>
      <c r="O152" s="8">
        <v>1.1200000000000001</v>
      </c>
      <c r="P152" s="8">
        <v>1.1200000000000001</v>
      </c>
      <c r="R152" s="8">
        <f>N152*K152*J152</f>
        <v>7207.2000000000007</v>
      </c>
      <c r="S152" s="8">
        <f>O152*K152*J152</f>
        <v>7207.2000000000007</v>
      </c>
      <c r="T152" s="8">
        <f>P152*K152*J152</f>
        <v>7207.2000000000007</v>
      </c>
      <c r="V152" s="13">
        <v>16.8</v>
      </c>
      <c r="W152" s="13">
        <v>16.8</v>
      </c>
      <c r="X152" s="13">
        <v>16.8</v>
      </c>
    </row>
    <row r="153" spans="1:25" ht="64" x14ac:dyDescent="0.2">
      <c r="A153" s="9" t="s">
        <v>17</v>
      </c>
      <c r="B153" s="10" t="s">
        <v>294</v>
      </c>
      <c r="C153" s="8">
        <v>429</v>
      </c>
      <c r="D153" s="11" t="s">
        <v>35</v>
      </c>
      <c r="E153" s="12">
        <v>1.8</v>
      </c>
      <c r="F153" s="12">
        <v>772.2</v>
      </c>
      <c r="G153" s="8">
        <v>50</v>
      </c>
      <c r="H153" s="8">
        <v>75</v>
      </c>
      <c r="I153" s="8">
        <v>100</v>
      </c>
      <c r="J153" s="55">
        <f>C153*0.1</f>
        <v>42.900000000000006</v>
      </c>
      <c r="K153" s="8">
        <v>100</v>
      </c>
      <c r="N153" s="8">
        <v>1.1200000000000001</v>
      </c>
      <c r="O153" s="8">
        <v>1.1200000000000001</v>
      </c>
      <c r="P153" s="8">
        <v>1.1200000000000001</v>
      </c>
      <c r="R153" s="8">
        <f t="shared" ref="R153:R156" si="48">N153*K153*J153</f>
        <v>4804.8000000000011</v>
      </c>
      <c r="S153" s="8">
        <f t="shared" ref="S153:S156" si="49">O153*K153*J153</f>
        <v>4804.8000000000011</v>
      </c>
      <c r="T153" s="8">
        <f t="shared" ref="T153:T156" si="50">P153*K153*J153</f>
        <v>4804.8000000000011</v>
      </c>
      <c r="V153" s="13">
        <v>16.8</v>
      </c>
      <c r="W153" s="13">
        <v>16.8</v>
      </c>
      <c r="X153" s="13">
        <v>16.8</v>
      </c>
    </row>
    <row r="154" spans="1:25" ht="64" x14ac:dyDescent="0.2">
      <c r="A154" s="9" t="s">
        <v>18</v>
      </c>
      <c r="B154" s="10" t="s">
        <v>295</v>
      </c>
      <c r="C154" s="8">
        <v>429</v>
      </c>
      <c r="D154" s="11" t="s">
        <v>35</v>
      </c>
      <c r="E154" s="12">
        <v>2.1</v>
      </c>
      <c r="F154" s="12">
        <v>900.9</v>
      </c>
      <c r="G154" s="8">
        <v>50</v>
      </c>
      <c r="H154" s="8">
        <v>75</v>
      </c>
      <c r="I154" s="8">
        <v>100</v>
      </c>
      <c r="J154" s="55">
        <f>C154*0.15</f>
        <v>64.349999999999994</v>
      </c>
      <c r="K154" s="8">
        <v>100</v>
      </c>
      <c r="N154" s="8">
        <v>1.1200000000000001</v>
      </c>
      <c r="O154" s="8">
        <v>1.1200000000000001</v>
      </c>
      <c r="P154" s="8">
        <v>1.1200000000000001</v>
      </c>
      <c r="R154" s="8">
        <f t="shared" si="48"/>
        <v>7207.2000000000007</v>
      </c>
      <c r="S154" s="8">
        <f t="shared" si="49"/>
        <v>7207.2000000000007</v>
      </c>
      <c r="T154" s="8">
        <f t="shared" si="50"/>
        <v>7207.2000000000007</v>
      </c>
      <c r="V154" s="13">
        <v>16.8</v>
      </c>
      <c r="W154" s="13">
        <v>16.8</v>
      </c>
      <c r="X154" s="13">
        <v>16.8</v>
      </c>
    </row>
    <row r="155" spans="1:25" ht="64" x14ac:dyDescent="0.2">
      <c r="A155" s="9" t="s">
        <v>6</v>
      </c>
      <c r="B155" s="10" t="s">
        <v>296</v>
      </c>
      <c r="C155" s="8">
        <v>40</v>
      </c>
      <c r="D155" s="11" t="s">
        <v>35</v>
      </c>
      <c r="E155" s="12">
        <v>4</v>
      </c>
      <c r="F155" s="12">
        <v>160</v>
      </c>
      <c r="G155" s="8">
        <v>50</v>
      </c>
      <c r="H155" s="8">
        <v>75</v>
      </c>
      <c r="I155" s="8">
        <v>100</v>
      </c>
      <c r="J155" s="55">
        <f>C155*0.1</f>
        <v>4</v>
      </c>
      <c r="K155" s="8">
        <v>100</v>
      </c>
      <c r="N155" s="8">
        <v>1.1200000000000001</v>
      </c>
      <c r="O155" s="8">
        <v>1.1200000000000001</v>
      </c>
      <c r="P155" s="8">
        <v>1.1200000000000001</v>
      </c>
      <c r="R155" s="8">
        <f t="shared" si="48"/>
        <v>448.00000000000006</v>
      </c>
      <c r="S155" s="8">
        <f t="shared" si="49"/>
        <v>448.00000000000006</v>
      </c>
      <c r="T155" s="8">
        <f t="shared" si="50"/>
        <v>448.00000000000006</v>
      </c>
      <c r="V155" s="13">
        <v>16.8</v>
      </c>
      <c r="W155" s="13">
        <v>16.8</v>
      </c>
      <c r="X155" s="13">
        <v>16.8</v>
      </c>
    </row>
    <row r="156" spans="1:25" ht="64" x14ac:dyDescent="0.2">
      <c r="A156" s="9" t="s">
        <v>9</v>
      </c>
      <c r="B156" s="10" t="s">
        <v>297</v>
      </c>
      <c r="C156" s="8">
        <v>287</v>
      </c>
      <c r="D156" s="11" t="s">
        <v>35</v>
      </c>
      <c r="E156" s="12">
        <v>23</v>
      </c>
      <c r="F156" s="12">
        <v>6601</v>
      </c>
      <c r="G156" s="8">
        <v>17</v>
      </c>
      <c r="H156" s="8">
        <v>22</v>
      </c>
      <c r="I156" s="8">
        <v>31</v>
      </c>
      <c r="J156" s="55">
        <f>C156*0.075</f>
        <v>21.524999999999999</v>
      </c>
      <c r="K156" s="8">
        <v>30</v>
      </c>
      <c r="L156" s="8" t="s">
        <v>925</v>
      </c>
      <c r="N156" s="8">
        <v>3.29</v>
      </c>
      <c r="O156" s="8">
        <v>3.29</v>
      </c>
      <c r="P156" s="8">
        <v>3.29</v>
      </c>
      <c r="R156" s="8">
        <f t="shared" si="48"/>
        <v>2124.5174999999999</v>
      </c>
      <c r="S156" s="8">
        <f t="shared" si="49"/>
        <v>2124.5174999999999</v>
      </c>
      <c r="T156" s="8">
        <f t="shared" si="50"/>
        <v>2124.5174999999999</v>
      </c>
      <c r="V156" s="13">
        <f>W156*0.7</f>
        <v>60.48</v>
      </c>
      <c r="W156" s="13">
        <v>86.4</v>
      </c>
      <c r="X156" s="13">
        <f>W156*1.3</f>
        <v>112.32000000000001</v>
      </c>
    </row>
    <row r="157" spans="1:25" ht="64" x14ac:dyDescent="0.2">
      <c r="A157" s="9" t="s">
        <v>10</v>
      </c>
      <c r="B157" s="10" t="s">
        <v>298</v>
      </c>
      <c r="C157" s="8">
        <v>287</v>
      </c>
      <c r="D157" s="11" t="s">
        <v>35</v>
      </c>
      <c r="E157" s="12">
        <v>25</v>
      </c>
      <c r="F157" s="12">
        <v>7175</v>
      </c>
      <c r="G157" s="8">
        <v>17</v>
      </c>
      <c r="H157" s="8">
        <v>22</v>
      </c>
      <c r="I157" s="8">
        <v>31</v>
      </c>
      <c r="J157" s="55">
        <f>C157*0.1</f>
        <v>28.700000000000003</v>
      </c>
      <c r="K157" s="8">
        <v>30</v>
      </c>
      <c r="N157" s="8">
        <v>3.29</v>
      </c>
      <c r="O157" s="8">
        <v>3.29</v>
      </c>
      <c r="P157" s="8">
        <v>3.29</v>
      </c>
      <c r="R157" s="8">
        <f t="shared" ref="R157:R158" si="51">N157*K157*J157</f>
        <v>2832.6900000000005</v>
      </c>
      <c r="S157" s="8">
        <f t="shared" ref="S157:S158" si="52">O157*K157*J157</f>
        <v>2832.6900000000005</v>
      </c>
      <c r="T157" s="8">
        <f t="shared" ref="T157:T158" si="53">P157*K157*J157</f>
        <v>2832.6900000000005</v>
      </c>
      <c r="V157" s="13">
        <f>W157*0.7</f>
        <v>60.48</v>
      </c>
      <c r="W157" s="13">
        <v>86.4</v>
      </c>
      <c r="X157" s="13">
        <f>W157*1.3</f>
        <v>112.32000000000001</v>
      </c>
    </row>
    <row r="158" spans="1:25" ht="64" x14ac:dyDescent="0.2">
      <c r="A158" s="9" t="s">
        <v>11</v>
      </c>
      <c r="B158" s="10" t="s">
        <v>299</v>
      </c>
      <c r="C158" s="8">
        <v>233</v>
      </c>
      <c r="D158" s="11" t="s">
        <v>34</v>
      </c>
      <c r="E158" s="12">
        <v>6.91</v>
      </c>
      <c r="F158" s="12">
        <v>1610.03</v>
      </c>
      <c r="G158" s="8">
        <v>18</v>
      </c>
      <c r="H158" s="8">
        <v>26</v>
      </c>
      <c r="I158" s="8">
        <v>35</v>
      </c>
      <c r="J158" s="55">
        <f>C158*3.14*(37.5*0.001)^2-C158*3.14*(32.5*0.001)^2</f>
        <v>0.25606699999999982</v>
      </c>
      <c r="K158" s="8">
        <v>1430</v>
      </c>
      <c r="L158" s="8" t="s">
        <v>927</v>
      </c>
      <c r="N158" s="8">
        <v>3.23</v>
      </c>
      <c r="O158" s="8">
        <v>3.23</v>
      </c>
      <c r="P158" s="8">
        <v>3.23</v>
      </c>
      <c r="R158" s="8">
        <f t="shared" si="51"/>
        <v>1182.747866299999</v>
      </c>
      <c r="S158" s="8">
        <f t="shared" si="52"/>
        <v>1182.747866299999</v>
      </c>
      <c r="T158" s="8">
        <f t="shared" si="53"/>
        <v>1182.747866299999</v>
      </c>
      <c r="V158" s="13">
        <f>W158*0.7</f>
        <v>47.25</v>
      </c>
      <c r="W158" s="13">
        <v>67.5</v>
      </c>
      <c r="X158" s="13">
        <f>W158*1.3</f>
        <v>87.75</v>
      </c>
    </row>
    <row r="159" spans="1:25" ht="64" x14ac:dyDescent="0.2">
      <c r="A159" s="9" t="s">
        <v>12</v>
      </c>
      <c r="B159" s="10" t="s">
        <v>300</v>
      </c>
      <c r="C159" s="8">
        <v>41</v>
      </c>
      <c r="D159" s="11" t="s">
        <v>36</v>
      </c>
      <c r="E159" s="12">
        <v>12.25</v>
      </c>
      <c r="F159" s="12">
        <v>502.25</v>
      </c>
      <c r="G159" s="8">
        <v>18</v>
      </c>
      <c r="H159" s="8">
        <v>26</v>
      </c>
      <c r="I159" s="8">
        <v>35</v>
      </c>
      <c r="V159" s="13"/>
      <c r="W159" s="13"/>
      <c r="X159" s="13"/>
    </row>
    <row r="160" spans="1:25" ht="64" x14ac:dyDescent="0.2">
      <c r="A160" s="9" t="s">
        <v>13</v>
      </c>
      <c r="B160" s="10" t="s">
        <v>301</v>
      </c>
      <c r="C160" s="8">
        <v>41</v>
      </c>
      <c r="D160" s="11" t="s">
        <v>36</v>
      </c>
      <c r="E160" s="12">
        <v>9.1</v>
      </c>
      <c r="F160" s="12">
        <v>373.1</v>
      </c>
      <c r="G160" s="8">
        <v>18</v>
      </c>
      <c r="H160" s="8">
        <v>26</v>
      </c>
      <c r="I160" s="8">
        <v>35</v>
      </c>
      <c r="V160" s="13"/>
      <c r="W160" s="13"/>
      <c r="X160" s="13"/>
    </row>
    <row r="161" spans="1:24" ht="48" x14ac:dyDescent="0.2">
      <c r="A161" s="9" t="s">
        <v>14</v>
      </c>
      <c r="B161" s="10" t="s">
        <v>302</v>
      </c>
      <c r="C161" s="8">
        <v>318</v>
      </c>
      <c r="D161" s="11" t="s">
        <v>34</v>
      </c>
      <c r="E161" s="12">
        <v>8.1300000000000008</v>
      </c>
      <c r="F161" s="12">
        <v>2585.34</v>
      </c>
      <c r="G161" s="8">
        <v>18</v>
      </c>
      <c r="H161" s="8">
        <v>26</v>
      </c>
      <c r="I161" s="8">
        <v>35</v>
      </c>
      <c r="J161" s="55">
        <f>C161*3.14*(50*0.001)^2-C161*3.14*(45*0.001)^2</f>
        <v>0.47429700000000041</v>
      </c>
      <c r="K161" s="8">
        <v>1430</v>
      </c>
      <c r="N161" s="8">
        <v>3.23</v>
      </c>
      <c r="O161" s="8">
        <v>3.23</v>
      </c>
      <c r="P161" s="8">
        <v>3.23</v>
      </c>
      <c r="R161" s="8">
        <f>N161*K161*J161</f>
        <v>2190.7304133000016</v>
      </c>
      <c r="S161" s="8">
        <f>O161*K161*J161</f>
        <v>2190.7304133000016</v>
      </c>
      <c r="T161" s="8">
        <f>P161*K161*J161</f>
        <v>2190.7304133000016</v>
      </c>
      <c r="V161" s="13">
        <f>W161*0.7</f>
        <v>47.25</v>
      </c>
      <c r="W161" s="13">
        <v>67.5</v>
      </c>
      <c r="X161" s="13">
        <f>W161*1.3</f>
        <v>87.75</v>
      </c>
    </row>
    <row r="162" spans="1:24" ht="48" x14ac:dyDescent="0.2">
      <c r="A162" s="9" t="s">
        <v>15</v>
      </c>
      <c r="B162" s="10" t="s">
        <v>303</v>
      </c>
      <c r="C162" s="8">
        <v>46</v>
      </c>
      <c r="D162" s="11" t="s">
        <v>36</v>
      </c>
      <c r="E162" s="12">
        <v>5.0999999999999996</v>
      </c>
      <c r="F162" s="12">
        <v>234.6</v>
      </c>
      <c r="G162" s="8">
        <v>18</v>
      </c>
      <c r="H162" s="8">
        <v>26</v>
      </c>
      <c r="I162" s="8">
        <v>35</v>
      </c>
      <c r="V162" s="13"/>
      <c r="W162" s="13"/>
      <c r="X162" s="13"/>
    </row>
    <row r="163" spans="1:24" ht="48" x14ac:dyDescent="0.2">
      <c r="A163" s="9" t="s">
        <v>16</v>
      </c>
      <c r="B163" s="10" t="s">
        <v>304</v>
      </c>
      <c r="C163" s="8">
        <v>41</v>
      </c>
      <c r="D163" s="11" t="s">
        <v>36</v>
      </c>
      <c r="E163" s="12">
        <v>7.15</v>
      </c>
      <c r="F163" s="12">
        <v>293.14999999999998</v>
      </c>
      <c r="G163" s="8">
        <v>18</v>
      </c>
      <c r="H163" s="8">
        <v>26</v>
      </c>
      <c r="I163" s="8">
        <v>35</v>
      </c>
      <c r="V163" s="13"/>
      <c r="W163" s="13"/>
      <c r="X163" s="13"/>
    </row>
    <row r="164" spans="1:24" ht="48" x14ac:dyDescent="0.2">
      <c r="A164" s="9" t="s">
        <v>17</v>
      </c>
      <c r="B164" s="10" t="s">
        <v>305</v>
      </c>
      <c r="C164" s="8">
        <v>29</v>
      </c>
      <c r="D164" s="11" t="s">
        <v>36</v>
      </c>
      <c r="E164" s="12">
        <v>7.15</v>
      </c>
      <c r="F164" s="12">
        <v>207.35</v>
      </c>
      <c r="G164" s="8">
        <v>18</v>
      </c>
      <c r="H164" s="8">
        <v>26</v>
      </c>
      <c r="I164" s="8">
        <v>35</v>
      </c>
      <c r="V164" s="13"/>
      <c r="W164" s="13"/>
      <c r="X164" s="13"/>
    </row>
    <row r="165" spans="1:24" ht="16" x14ac:dyDescent="0.2">
      <c r="A165" s="9" t="s">
        <v>18</v>
      </c>
      <c r="B165" s="10" t="s">
        <v>306</v>
      </c>
      <c r="C165" s="8">
        <v>1</v>
      </c>
      <c r="D165" s="11" t="s">
        <v>7</v>
      </c>
      <c r="E165" s="12">
        <v>600</v>
      </c>
      <c r="F165" s="12">
        <v>600</v>
      </c>
      <c r="G165" s="8">
        <v>1</v>
      </c>
      <c r="H165" s="8">
        <v>1</v>
      </c>
      <c r="I165" s="8">
        <v>1</v>
      </c>
      <c r="V165" s="13"/>
      <c r="W165" s="13"/>
      <c r="X165" s="13"/>
    </row>
    <row r="166" spans="1:24" ht="96" x14ac:dyDescent="0.2">
      <c r="A166" s="9" t="s">
        <v>6</v>
      </c>
      <c r="B166" s="10" t="s">
        <v>307</v>
      </c>
      <c r="C166" s="8">
        <v>1</v>
      </c>
      <c r="D166" s="11" t="s">
        <v>36</v>
      </c>
      <c r="E166" s="12">
        <v>2818</v>
      </c>
      <c r="F166" s="12">
        <v>2818</v>
      </c>
      <c r="G166" s="8">
        <v>32</v>
      </c>
      <c r="H166" s="8">
        <v>62</v>
      </c>
      <c r="I166" s="8">
        <v>76</v>
      </c>
      <c r="K166" s="8">
        <v>630</v>
      </c>
      <c r="N166" s="13">
        <v>0.59</v>
      </c>
      <c r="O166" s="13">
        <v>0.59</v>
      </c>
      <c r="P166" s="13">
        <v>0.59</v>
      </c>
      <c r="V166" s="13">
        <v>0.72</v>
      </c>
      <c r="W166" s="13">
        <v>7.4</v>
      </c>
      <c r="X166" s="13">
        <v>13</v>
      </c>
    </row>
    <row r="167" spans="1:24" ht="80" x14ac:dyDescent="0.2">
      <c r="A167" s="9" t="s">
        <v>9</v>
      </c>
      <c r="B167" s="10" t="s">
        <v>308</v>
      </c>
      <c r="C167" s="8">
        <v>1</v>
      </c>
      <c r="D167" s="11" t="s">
        <v>36</v>
      </c>
      <c r="E167" s="12">
        <v>2660</v>
      </c>
      <c r="F167" s="12">
        <v>2660</v>
      </c>
      <c r="G167" s="8">
        <v>32</v>
      </c>
      <c r="H167" s="8">
        <v>62</v>
      </c>
      <c r="I167" s="8">
        <v>76</v>
      </c>
      <c r="K167" s="8">
        <v>630</v>
      </c>
      <c r="N167" s="13">
        <v>0.59</v>
      </c>
      <c r="O167" s="13">
        <v>0.59</v>
      </c>
      <c r="P167" s="13">
        <v>0.59</v>
      </c>
      <c r="V167" s="13">
        <v>0.72</v>
      </c>
      <c r="W167" s="13">
        <v>7.4</v>
      </c>
      <c r="X167" s="13">
        <v>13</v>
      </c>
    </row>
    <row r="168" spans="1:24" ht="80" x14ac:dyDescent="0.2">
      <c r="A168" s="9" t="s">
        <v>10</v>
      </c>
      <c r="B168" s="10" t="s">
        <v>309</v>
      </c>
      <c r="C168" s="8">
        <v>1</v>
      </c>
      <c r="D168" s="11" t="s">
        <v>36</v>
      </c>
      <c r="E168" s="12">
        <v>2709</v>
      </c>
      <c r="F168" s="12">
        <v>2709</v>
      </c>
      <c r="G168" s="8">
        <v>32</v>
      </c>
      <c r="H168" s="8">
        <v>62</v>
      </c>
      <c r="I168" s="8">
        <v>76</v>
      </c>
      <c r="K168" s="8">
        <v>630</v>
      </c>
      <c r="N168" s="13">
        <v>0.59</v>
      </c>
      <c r="O168" s="13">
        <v>0.59</v>
      </c>
      <c r="P168" s="13">
        <v>0.59</v>
      </c>
      <c r="V168" s="13">
        <v>0.72</v>
      </c>
      <c r="W168" s="13">
        <v>7.4</v>
      </c>
      <c r="X168" s="13">
        <v>13</v>
      </c>
    </row>
    <row r="169" spans="1:24" ht="80" x14ac:dyDescent="0.2">
      <c r="A169" s="9" t="s">
        <v>11</v>
      </c>
      <c r="B169" s="10" t="s">
        <v>310</v>
      </c>
      <c r="C169" s="8">
        <v>1</v>
      </c>
      <c r="D169" s="11" t="s">
        <v>36</v>
      </c>
      <c r="E169" s="12">
        <v>2709</v>
      </c>
      <c r="F169" s="12">
        <v>2709</v>
      </c>
      <c r="G169" s="8">
        <v>32</v>
      </c>
      <c r="H169" s="8">
        <v>62</v>
      </c>
      <c r="I169" s="8">
        <v>76</v>
      </c>
      <c r="K169" s="8">
        <v>630</v>
      </c>
      <c r="N169" s="13">
        <v>0.59</v>
      </c>
      <c r="O169" s="13">
        <v>0.59</v>
      </c>
      <c r="P169" s="13">
        <v>0.59</v>
      </c>
      <c r="V169" s="13">
        <v>0.72</v>
      </c>
      <c r="W169" s="13">
        <v>7.4</v>
      </c>
      <c r="X169" s="13">
        <v>13</v>
      </c>
    </row>
    <row r="170" spans="1:24" ht="80" x14ac:dyDescent="0.2">
      <c r="A170" s="9" t="s">
        <v>12</v>
      </c>
      <c r="B170" s="10" t="s">
        <v>311</v>
      </c>
      <c r="C170" s="8">
        <v>1</v>
      </c>
      <c r="D170" s="11" t="s">
        <v>36</v>
      </c>
      <c r="E170" s="12">
        <v>3676</v>
      </c>
      <c r="F170" s="12">
        <v>3676</v>
      </c>
      <c r="G170" s="8">
        <v>32</v>
      </c>
      <c r="H170" s="8">
        <v>62</v>
      </c>
      <c r="I170" s="8">
        <v>76</v>
      </c>
      <c r="K170" s="8">
        <v>630</v>
      </c>
      <c r="N170" s="13">
        <v>0.59</v>
      </c>
      <c r="O170" s="13">
        <v>0.59</v>
      </c>
      <c r="P170" s="13">
        <v>0.59</v>
      </c>
      <c r="V170" s="13">
        <v>0.72</v>
      </c>
      <c r="W170" s="13">
        <v>7.4</v>
      </c>
      <c r="X170" s="13">
        <v>13</v>
      </c>
    </row>
    <row r="171" spans="1:24" ht="112" x14ac:dyDescent="0.2">
      <c r="A171" s="9" t="s">
        <v>13</v>
      </c>
      <c r="B171" s="10" t="s">
        <v>312</v>
      </c>
      <c r="C171" s="8">
        <v>1</v>
      </c>
      <c r="D171" s="11" t="s">
        <v>36</v>
      </c>
      <c r="E171" s="12">
        <v>5340</v>
      </c>
      <c r="F171" s="12">
        <v>5340</v>
      </c>
      <c r="G171" s="8">
        <v>42</v>
      </c>
      <c r="H171" s="8">
        <v>73</v>
      </c>
      <c r="I171" s="8">
        <v>95</v>
      </c>
      <c r="J171" s="55" t="s">
        <v>99</v>
      </c>
      <c r="N171" s="13">
        <v>0.155</v>
      </c>
      <c r="O171" s="13">
        <v>0.17399999999999999</v>
      </c>
      <c r="P171" s="13">
        <v>0.188</v>
      </c>
      <c r="V171" s="13">
        <v>0.99</v>
      </c>
      <c r="W171" s="13">
        <v>1.1000000000000001</v>
      </c>
      <c r="X171" s="13">
        <v>1.17</v>
      </c>
    </row>
    <row r="172" spans="1:24" ht="112" x14ac:dyDescent="0.2">
      <c r="A172" s="9" t="s">
        <v>6</v>
      </c>
      <c r="B172" s="10" t="s">
        <v>313</v>
      </c>
      <c r="C172" s="8">
        <v>1</v>
      </c>
      <c r="D172" s="11" t="s">
        <v>36</v>
      </c>
      <c r="E172" s="14" t="s">
        <v>37</v>
      </c>
      <c r="F172" s="14" t="s">
        <v>37</v>
      </c>
      <c r="V172" s="13"/>
      <c r="W172" s="13"/>
      <c r="X172" s="13"/>
    </row>
    <row r="173" spans="1:24" ht="48" x14ac:dyDescent="0.2">
      <c r="A173" s="9" t="s">
        <v>9</v>
      </c>
      <c r="B173" s="10" t="s">
        <v>314</v>
      </c>
      <c r="C173" s="8">
        <v>10</v>
      </c>
      <c r="D173" s="11" t="s">
        <v>34</v>
      </c>
      <c r="E173" s="12">
        <v>436.55</v>
      </c>
      <c r="F173" s="12">
        <v>4365.5</v>
      </c>
      <c r="G173" s="8">
        <v>15</v>
      </c>
      <c r="H173" s="8">
        <v>20</v>
      </c>
      <c r="I173" s="8">
        <v>25</v>
      </c>
      <c r="V173" s="13"/>
      <c r="W173" s="13"/>
      <c r="X173" s="13"/>
    </row>
    <row r="174" spans="1:24" ht="48" x14ac:dyDescent="0.2">
      <c r="A174" s="9" t="s">
        <v>10</v>
      </c>
      <c r="B174" s="10" t="s">
        <v>315</v>
      </c>
      <c r="C174" s="8">
        <v>4</v>
      </c>
      <c r="D174" s="11" t="s">
        <v>34</v>
      </c>
      <c r="E174" s="12">
        <v>476.47</v>
      </c>
      <c r="F174" s="12">
        <v>1905.88</v>
      </c>
      <c r="G174" s="8">
        <v>15</v>
      </c>
      <c r="H174" s="8">
        <v>20</v>
      </c>
      <c r="I174" s="8">
        <v>25</v>
      </c>
      <c r="V174" s="13"/>
      <c r="W174" s="13"/>
      <c r="X174" s="13"/>
    </row>
    <row r="175" spans="1:24" ht="48" x14ac:dyDescent="0.2">
      <c r="A175" s="9" t="s">
        <v>11</v>
      </c>
      <c r="B175" s="10" t="s">
        <v>316</v>
      </c>
      <c r="C175" s="8">
        <v>4</v>
      </c>
      <c r="D175" s="11" t="s">
        <v>36</v>
      </c>
      <c r="E175" s="12">
        <v>40.22</v>
      </c>
      <c r="F175" s="12">
        <v>160.88</v>
      </c>
      <c r="G175" s="8">
        <v>15</v>
      </c>
      <c r="H175" s="8">
        <v>20</v>
      </c>
      <c r="I175" s="8">
        <v>25</v>
      </c>
      <c r="V175" s="13"/>
      <c r="W175" s="13"/>
      <c r="X175" s="13"/>
    </row>
    <row r="176" spans="1:24" ht="64" x14ac:dyDescent="0.2">
      <c r="A176" s="9" t="s">
        <v>12</v>
      </c>
      <c r="B176" s="10" t="s">
        <v>317</v>
      </c>
      <c r="C176" s="8">
        <v>2</v>
      </c>
      <c r="D176" s="11" t="s">
        <v>36</v>
      </c>
      <c r="E176" s="12">
        <v>40.22</v>
      </c>
      <c r="F176" s="12">
        <v>80.44</v>
      </c>
      <c r="G176" s="8">
        <v>15</v>
      </c>
      <c r="H176" s="8">
        <v>20</v>
      </c>
      <c r="I176" s="8">
        <v>25</v>
      </c>
      <c r="V176" s="13"/>
      <c r="W176" s="13"/>
      <c r="X176" s="13"/>
    </row>
    <row r="177" spans="1:24" ht="48" x14ac:dyDescent="0.2">
      <c r="A177" s="9" t="s">
        <v>13</v>
      </c>
      <c r="B177" s="10" t="s">
        <v>318</v>
      </c>
      <c r="C177" s="8">
        <v>6</v>
      </c>
      <c r="D177" s="11" t="s">
        <v>36</v>
      </c>
      <c r="E177" s="12">
        <v>40.22</v>
      </c>
      <c r="F177" s="12">
        <v>241.32</v>
      </c>
      <c r="G177" s="8">
        <v>15</v>
      </c>
      <c r="H177" s="8">
        <v>20</v>
      </c>
      <c r="I177" s="8">
        <v>25</v>
      </c>
      <c r="V177" s="13"/>
      <c r="W177" s="13"/>
      <c r="X177" s="13"/>
    </row>
    <row r="178" spans="1:24" ht="48" x14ac:dyDescent="0.2">
      <c r="A178" s="9" t="s">
        <v>14</v>
      </c>
      <c r="B178" s="10" t="s">
        <v>319</v>
      </c>
      <c r="C178" s="8">
        <v>14</v>
      </c>
      <c r="D178" s="11" t="s">
        <v>36</v>
      </c>
      <c r="E178" s="12">
        <v>80.44</v>
      </c>
      <c r="F178" s="12">
        <v>1126.1600000000001</v>
      </c>
      <c r="G178" s="8">
        <v>15</v>
      </c>
      <c r="H178" s="8">
        <v>20</v>
      </c>
      <c r="I178" s="8">
        <v>25</v>
      </c>
      <c r="V178" s="13"/>
      <c r="W178" s="13"/>
      <c r="X178" s="13"/>
    </row>
    <row r="179" spans="1:24" ht="32" x14ac:dyDescent="0.2">
      <c r="A179" s="9" t="s">
        <v>15</v>
      </c>
      <c r="B179" s="10" t="s">
        <v>320</v>
      </c>
      <c r="C179" s="8">
        <v>8</v>
      </c>
      <c r="D179" s="11" t="s">
        <v>34</v>
      </c>
      <c r="E179" s="12">
        <v>173.32</v>
      </c>
      <c r="F179" s="12">
        <v>1386.56</v>
      </c>
      <c r="G179" s="8">
        <v>15</v>
      </c>
      <c r="H179" s="8">
        <v>20</v>
      </c>
      <c r="I179" s="8">
        <v>25</v>
      </c>
      <c r="V179" s="13"/>
      <c r="W179" s="13"/>
      <c r="X179" s="13"/>
    </row>
    <row r="180" spans="1:24" ht="32" x14ac:dyDescent="0.2">
      <c r="A180" s="9" t="s">
        <v>16</v>
      </c>
      <c r="B180" s="10" t="s">
        <v>321</v>
      </c>
      <c r="C180" s="8">
        <v>8</v>
      </c>
      <c r="D180" s="11" t="s">
        <v>34</v>
      </c>
      <c r="E180" s="12">
        <v>173.32</v>
      </c>
      <c r="F180" s="12">
        <v>1386.56</v>
      </c>
      <c r="G180" s="8">
        <v>15</v>
      </c>
      <c r="H180" s="8">
        <v>20</v>
      </c>
      <c r="I180" s="8">
        <v>25</v>
      </c>
      <c r="V180" s="13"/>
      <c r="W180" s="13"/>
      <c r="X180" s="13"/>
    </row>
    <row r="181" spans="1:24" ht="32" x14ac:dyDescent="0.2">
      <c r="A181" s="9" t="s">
        <v>17</v>
      </c>
      <c r="B181" s="10" t="s">
        <v>322</v>
      </c>
      <c r="C181" s="8">
        <v>2</v>
      </c>
      <c r="D181" s="11" t="s">
        <v>36</v>
      </c>
      <c r="E181" s="12">
        <v>40.22</v>
      </c>
      <c r="F181" s="12">
        <v>80.44</v>
      </c>
      <c r="G181" s="8">
        <v>15</v>
      </c>
      <c r="H181" s="8">
        <v>20</v>
      </c>
      <c r="I181" s="8">
        <v>25</v>
      </c>
      <c r="V181" s="13"/>
      <c r="W181" s="13"/>
      <c r="X181" s="13"/>
    </row>
    <row r="182" spans="1:24" ht="32" x14ac:dyDescent="0.2">
      <c r="A182" s="9" t="s">
        <v>18</v>
      </c>
      <c r="B182" s="10" t="s">
        <v>323</v>
      </c>
      <c r="C182" s="8">
        <v>8</v>
      </c>
      <c r="D182" s="11" t="s">
        <v>36</v>
      </c>
      <c r="E182" s="12">
        <v>40.22</v>
      </c>
      <c r="F182" s="12">
        <v>321.76</v>
      </c>
      <c r="G182" s="8">
        <v>15</v>
      </c>
      <c r="H182" s="8">
        <v>20</v>
      </c>
      <c r="I182" s="8">
        <v>25</v>
      </c>
      <c r="V182" s="13"/>
      <c r="W182" s="13"/>
      <c r="X182" s="13"/>
    </row>
    <row r="183" spans="1:24" ht="32" x14ac:dyDescent="0.2">
      <c r="A183" s="9" t="s">
        <v>19</v>
      </c>
      <c r="B183" s="10" t="s">
        <v>324</v>
      </c>
      <c r="C183" s="8">
        <v>10</v>
      </c>
      <c r="D183" s="11" t="s">
        <v>36</v>
      </c>
      <c r="E183" s="12">
        <v>80.44</v>
      </c>
      <c r="F183" s="12">
        <v>804.4</v>
      </c>
      <c r="G183" s="8">
        <v>15</v>
      </c>
      <c r="H183" s="8">
        <v>20</v>
      </c>
      <c r="I183" s="8">
        <v>25</v>
      </c>
      <c r="V183" s="13"/>
      <c r="W183" s="13"/>
      <c r="X183" s="13"/>
    </row>
    <row r="184" spans="1:24" ht="64" x14ac:dyDescent="0.2">
      <c r="A184" s="9" t="s">
        <v>20</v>
      </c>
      <c r="B184" s="10" t="s">
        <v>325</v>
      </c>
      <c r="C184" s="8">
        <v>5</v>
      </c>
      <c r="D184" s="11" t="s">
        <v>35</v>
      </c>
      <c r="E184" s="12">
        <v>15</v>
      </c>
      <c r="F184" s="12">
        <v>75</v>
      </c>
      <c r="G184" s="8">
        <v>6</v>
      </c>
      <c r="H184" s="8">
        <v>6</v>
      </c>
      <c r="I184" s="8">
        <v>6</v>
      </c>
      <c r="N184" s="8">
        <v>0.87</v>
      </c>
      <c r="O184" s="8">
        <v>0.87</v>
      </c>
      <c r="P184" s="8">
        <v>0.87</v>
      </c>
      <c r="R184" s="8">
        <f>N184*C184</f>
        <v>4.3499999999999996</v>
      </c>
      <c r="S184" s="8">
        <f>O184*C184</f>
        <v>4.3499999999999996</v>
      </c>
      <c r="T184" s="8">
        <f>P184*C184</f>
        <v>4.3499999999999996</v>
      </c>
      <c r="V184" s="13">
        <v>21</v>
      </c>
      <c r="W184" s="13">
        <v>21</v>
      </c>
      <c r="X184" s="13">
        <v>21</v>
      </c>
    </row>
    <row r="185" spans="1:24" ht="64" x14ac:dyDescent="0.2">
      <c r="A185" s="9" t="s">
        <v>21</v>
      </c>
      <c r="B185" s="10" t="s">
        <v>326</v>
      </c>
      <c r="C185" s="8">
        <v>9</v>
      </c>
      <c r="D185" s="11" t="s">
        <v>35</v>
      </c>
      <c r="E185" s="12">
        <v>15</v>
      </c>
      <c r="F185" s="12">
        <v>135</v>
      </c>
      <c r="G185" s="8">
        <v>6</v>
      </c>
      <c r="H185" s="8">
        <v>6</v>
      </c>
      <c r="I185" s="8">
        <v>6</v>
      </c>
      <c r="N185" s="8">
        <v>0.87</v>
      </c>
      <c r="O185" s="8">
        <v>0.87</v>
      </c>
      <c r="P185" s="8">
        <v>0.87</v>
      </c>
      <c r="R185" s="8">
        <f t="shared" ref="R185:R187" si="54">N185*C185</f>
        <v>7.83</v>
      </c>
      <c r="S185" s="8">
        <f t="shared" ref="S185:S187" si="55">O185*C185</f>
        <v>7.83</v>
      </c>
      <c r="T185" s="8">
        <f t="shared" ref="T185:T187" si="56">P185*C185</f>
        <v>7.83</v>
      </c>
      <c r="V185" s="13">
        <v>21</v>
      </c>
      <c r="W185" s="13">
        <v>21</v>
      </c>
      <c r="X185" s="13">
        <v>21</v>
      </c>
    </row>
    <row r="186" spans="1:24" ht="48" x14ac:dyDescent="0.2">
      <c r="A186" s="9" t="s">
        <v>6</v>
      </c>
      <c r="B186" s="10" t="s">
        <v>327</v>
      </c>
      <c r="C186" s="8">
        <v>27</v>
      </c>
      <c r="D186" s="11" t="s">
        <v>34</v>
      </c>
      <c r="E186" s="12">
        <v>4</v>
      </c>
      <c r="F186" s="12">
        <v>108</v>
      </c>
      <c r="N186" s="8">
        <v>0.87</v>
      </c>
      <c r="O186" s="8">
        <v>0.87</v>
      </c>
      <c r="P186" s="8">
        <v>0.87</v>
      </c>
      <c r="V186" s="13"/>
      <c r="W186" s="13"/>
      <c r="X186" s="13"/>
    </row>
    <row r="187" spans="1:24" ht="48" x14ac:dyDescent="0.2">
      <c r="A187" s="9" t="s">
        <v>9</v>
      </c>
      <c r="B187" s="10" t="s">
        <v>328</v>
      </c>
      <c r="C187" s="8">
        <v>66</v>
      </c>
      <c r="D187" s="11" t="s">
        <v>35</v>
      </c>
      <c r="E187" s="12">
        <v>15</v>
      </c>
      <c r="F187" s="12">
        <v>990</v>
      </c>
      <c r="G187" s="8">
        <v>6</v>
      </c>
      <c r="H187" s="8">
        <v>6</v>
      </c>
      <c r="I187" s="8">
        <v>6</v>
      </c>
      <c r="N187" s="8">
        <v>0.87</v>
      </c>
      <c r="O187" s="8">
        <v>0.87</v>
      </c>
      <c r="P187" s="8">
        <v>0.87</v>
      </c>
      <c r="R187" s="8">
        <f t="shared" si="54"/>
        <v>57.42</v>
      </c>
      <c r="S187" s="8">
        <f t="shared" si="55"/>
        <v>57.42</v>
      </c>
      <c r="T187" s="8">
        <f t="shared" si="56"/>
        <v>57.42</v>
      </c>
      <c r="V187" s="13">
        <v>21</v>
      </c>
      <c r="W187" s="13">
        <v>21</v>
      </c>
      <c r="X187" s="13">
        <v>21</v>
      </c>
    </row>
    <row r="188" spans="1:24" ht="64" x14ac:dyDescent="0.2">
      <c r="A188" s="9" t="s">
        <v>10</v>
      </c>
      <c r="B188" s="10" t="s">
        <v>329</v>
      </c>
      <c r="C188" s="8">
        <v>12</v>
      </c>
      <c r="D188" s="11" t="s">
        <v>34</v>
      </c>
      <c r="E188" s="12">
        <v>20.170000000000002</v>
      </c>
      <c r="F188" s="12">
        <v>242.04</v>
      </c>
      <c r="G188" s="8">
        <v>21</v>
      </c>
      <c r="H188" s="8">
        <v>36</v>
      </c>
      <c r="I188" s="8">
        <v>48</v>
      </c>
      <c r="J188" s="55">
        <f>C188*0.35*0.019</f>
        <v>7.9799999999999982E-2</v>
      </c>
      <c r="K188" s="8">
        <v>575</v>
      </c>
      <c r="L188" s="8" t="s">
        <v>137</v>
      </c>
      <c r="N188" s="8">
        <v>0.74</v>
      </c>
      <c r="O188" s="8">
        <v>0.74</v>
      </c>
      <c r="P188" s="8">
        <v>0.74</v>
      </c>
      <c r="R188" s="8">
        <f>N188*K188*J188</f>
        <v>33.954899999999995</v>
      </c>
      <c r="S188" s="8">
        <f>O188*K188*J188</f>
        <v>33.954899999999995</v>
      </c>
      <c r="T188" s="8">
        <f>P188*K188*J188</f>
        <v>33.954899999999995</v>
      </c>
      <c r="V188" s="13">
        <v>11</v>
      </c>
      <c r="W188" s="13">
        <v>11</v>
      </c>
      <c r="X188" s="13">
        <v>11</v>
      </c>
    </row>
    <row r="189" spans="1:24" ht="48" x14ac:dyDescent="0.2">
      <c r="A189" s="9" t="s">
        <v>6</v>
      </c>
      <c r="B189" s="10" t="s">
        <v>330</v>
      </c>
      <c r="C189" s="8">
        <v>2228</v>
      </c>
      <c r="D189" s="11" t="s">
        <v>35</v>
      </c>
      <c r="E189" s="12">
        <v>22.8</v>
      </c>
      <c r="F189" s="12">
        <v>50798.400000000001</v>
      </c>
      <c r="G189" s="8">
        <v>52</v>
      </c>
      <c r="H189" s="8">
        <v>72</v>
      </c>
      <c r="I189" s="8">
        <v>101</v>
      </c>
      <c r="J189" s="55">
        <f>C189*0.1</f>
        <v>222.8</v>
      </c>
      <c r="K189" s="8">
        <v>2200</v>
      </c>
      <c r="N189" s="8">
        <f>O189*0.7</f>
        <v>7.4899999999999994E-2</v>
      </c>
      <c r="O189" s="8">
        <v>0.107</v>
      </c>
      <c r="P189" s="8">
        <f>O189*1.3</f>
        <v>0.1391</v>
      </c>
      <c r="R189" s="8">
        <f t="shared" ref="R189:R195" si="57">N189*K189*J189</f>
        <v>36712.984000000004</v>
      </c>
      <c r="S189" s="8">
        <f t="shared" ref="S189:S195" si="58">O189*K189*J189</f>
        <v>52447.12</v>
      </c>
      <c r="T189" s="8">
        <f t="shared" ref="T189:T195" si="59">P189*K189*J189</f>
        <v>68181.255999999994</v>
      </c>
      <c r="V189" s="13">
        <v>0.52500000000000002</v>
      </c>
      <c r="W189" s="13">
        <v>0.75</v>
      </c>
      <c r="X189" s="13">
        <v>0.97499999999999998</v>
      </c>
    </row>
    <row r="190" spans="1:24" ht="48" x14ac:dyDescent="0.2">
      <c r="A190" s="9" t="s">
        <v>9</v>
      </c>
      <c r="B190" s="10" t="s">
        <v>331</v>
      </c>
      <c r="C190" s="8">
        <v>94</v>
      </c>
      <c r="D190" s="11" t="s">
        <v>35</v>
      </c>
      <c r="E190" s="12">
        <v>24.3</v>
      </c>
      <c r="F190" s="12">
        <v>2284.1999999999998</v>
      </c>
      <c r="G190" s="8">
        <v>52</v>
      </c>
      <c r="H190" s="8">
        <v>72</v>
      </c>
      <c r="I190" s="8">
        <v>101</v>
      </c>
      <c r="J190" s="55">
        <f>C190*0.1</f>
        <v>9.4</v>
      </c>
      <c r="K190" s="8">
        <v>2200</v>
      </c>
      <c r="N190" s="8">
        <f t="shared" ref="N190:N197" si="60">O190*0.7</f>
        <v>0.77489999999999992</v>
      </c>
      <c r="O190" s="8">
        <v>1.107</v>
      </c>
      <c r="P190" s="8">
        <f t="shared" ref="P190:P197" si="61">O190*1.3</f>
        <v>1.4391</v>
      </c>
      <c r="R190" s="8">
        <f t="shared" si="57"/>
        <v>16024.931999999999</v>
      </c>
      <c r="S190" s="8">
        <f t="shared" si="58"/>
        <v>22892.760000000002</v>
      </c>
      <c r="T190" s="8">
        <f t="shared" si="59"/>
        <v>29760.588</v>
      </c>
      <c r="V190" s="13">
        <v>0.52500000000000002</v>
      </c>
      <c r="W190" s="13">
        <v>0.75</v>
      </c>
      <c r="X190" s="13">
        <v>0.97499999999999998</v>
      </c>
    </row>
    <row r="191" spans="1:24" ht="48" x14ac:dyDescent="0.2">
      <c r="A191" s="9" t="s">
        <v>10</v>
      </c>
      <c r="B191" s="10" t="s">
        <v>332</v>
      </c>
      <c r="C191" s="8">
        <v>40</v>
      </c>
      <c r="D191" s="11" t="s">
        <v>35</v>
      </c>
      <c r="E191" s="12">
        <v>26.3</v>
      </c>
      <c r="F191" s="12">
        <v>1052</v>
      </c>
      <c r="G191" s="8">
        <v>52</v>
      </c>
      <c r="H191" s="8">
        <v>72</v>
      </c>
      <c r="I191" s="8">
        <v>101</v>
      </c>
      <c r="J191" s="55">
        <f>C191*0.1</f>
        <v>4</v>
      </c>
      <c r="K191" s="8">
        <v>2200</v>
      </c>
      <c r="N191" s="8">
        <f t="shared" si="60"/>
        <v>1.4749000000000001</v>
      </c>
      <c r="O191" s="8">
        <v>2.1070000000000002</v>
      </c>
      <c r="P191" s="8">
        <f t="shared" si="61"/>
        <v>2.7391000000000005</v>
      </c>
      <c r="R191" s="8">
        <f t="shared" si="57"/>
        <v>12979.12</v>
      </c>
      <c r="S191" s="8">
        <f t="shared" si="58"/>
        <v>18541.600000000002</v>
      </c>
      <c r="T191" s="8">
        <f t="shared" si="59"/>
        <v>24104.080000000005</v>
      </c>
      <c r="V191" s="13">
        <v>0.52500000000000002</v>
      </c>
      <c r="W191" s="13">
        <v>0.75</v>
      </c>
      <c r="X191" s="13">
        <v>0.97499999999999998</v>
      </c>
    </row>
    <row r="192" spans="1:24" ht="96" x14ac:dyDescent="0.2">
      <c r="A192" s="9" t="s">
        <v>11</v>
      </c>
      <c r="B192" s="10" t="s">
        <v>333</v>
      </c>
      <c r="C192" s="8">
        <v>6</v>
      </c>
      <c r="D192" s="11" t="s">
        <v>35</v>
      </c>
      <c r="E192" s="12">
        <v>56.11</v>
      </c>
      <c r="F192" s="12">
        <v>336.66</v>
      </c>
      <c r="G192" s="8">
        <v>52</v>
      </c>
      <c r="H192" s="8">
        <v>72</v>
      </c>
      <c r="I192" s="8">
        <v>101</v>
      </c>
      <c r="J192" s="55">
        <f>C192*0.2</f>
        <v>1.2000000000000002</v>
      </c>
      <c r="K192" s="8">
        <v>2200</v>
      </c>
      <c r="N192" s="8">
        <f t="shared" si="60"/>
        <v>2.1749000000000001</v>
      </c>
      <c r="O192" s="8">
        <v>3.1070000000000002</v>
      </c>
      <c r="P192" s="8">
        <f t="shared" si="61"/>
        <v>4.0391000000000004</v>
      </c>
      <c r="R192" s="8">
        <f t="shared" si="57"/>
        <v>5741.7360000000008</v>
      </c>
      <c r="S192" s="8">
        <f t="shared" si="58"/>
        <v>8202.4800000000014</v>
      </c>
      <c r="T192" s="8">
        <f t="shared" si="59"/>
        <v>10663.224000000002</v>
      </c>
      <c r="V192" s="13">
        <v>0.52500000000000002</v>
      </c>
      <c r="W192" s="13">
        <v>0.75</v>
      </c>
      <c r="X192" s="13">
        <v>0.97499999999999998</v>
      </c>
    </row>
    <row r="193" spans="1:24" ht="64" x14ac:dyDescent="0.2">
      <c r="A193" s="9" t="s">
        <v>12</v>
      </c>
      <c r="B193" s="10" t="s">
        <v>334</v>
      </c>
      <c r="C193" s="8">
        <v>5</v>
      </c>
      <c r="D193" s="11" t="s">
        <v>35</v>
      </c>
      <c r="E193" s="12">
        <v>50.11</v>
      </c>
      <c r="F193" s="12">
        <v>250.55</v>
      </c>
      <c r="G193" s="8">
        <v>52</v>
      </c>
      <c r="H193" s="8">
        <v>72</v>
      </c>
      <c r="I193" s="8">
        <v>101</v>
      </c>
      <c r="J193" s="55">
        <f>C193*0.215</f>
        <v>1.075</v>
      </c>
      <c r="K193" s="8">
        <v>2200</v>
      </c>
      <c r="N193" s="8">
        <f t="shared" si="60"/>
        <v>2.8748999999999998</v>
      </c>
      <c r="O193" s="8">
        <v>4.1070000000000002</v>
      </c>
      <c r="P193" s="8">
        <f t="shared" si="61"/>
        <v>5.3391000000000002</v>
      </c>
      <c r="R193" s="8">
        <f t="shared" si="57"/>
        <v>6799.1384999999991</v>
      </c>
      <c r="S193" s="8">
        <f t="shared" si="58"/>
        <v>9713.0549999999985</v>
      </c>
      <c r="T193" s="8">
        <f t="shared" si="59"/>
        <v>12626.9715</v>
      </c>
      <c r="V193" s="13">
        <v>0.52500000000000002</v>
      </c>
      <c r="W193" s="13">
        <v>0.75</v>
      </c>
      <c r="X193" s="13">
        <v>0.97499999999999998</v>
      </c>
    </row>
    <row r="194" spans="1:24" ht="64" x14ac:dyDescent="0.2">
      <c r="A194" s="9" t="s">
        <v>13</v>
      </c>
      <c r="B194" s="10" t="s">
        <v>335</v>
      </c>
      <c r="C194" s="8">
        <v>4</v>
      </c>
      <c r="D194" s="11" t="s">
        <v>35</v>
      </c>
      <c r="E194" s="12">
        <v>51.11</v>
      </c>
      <c r="F194" s="12">
        <v>204.44</v>
      </c>
      <c r="G194" s="8">
        <v>52</v>
      </c>
      <c r="H194" s="8">
        <v>72</v>
      </c>
      <c r="I194" s="8">
        <v>101</v>
      </c>
      <c r="J194" s="55">
        <f>C194*0.215</f>
        <v>0.86</v>
      </c>
      <c r="K194" s="8">
        <v>2200</v>
      </c>
      <c r="N194" s="8">
        <f t="shared" si="60"/>
        <v>3.5749</v>
      </c>
      <c r="O194" s="8">
        <v>5.1070000000000002</v>
      </c>
      <c r="P194" s="8">
        <f t="shared" si="61"/>
        <v>6.6391000000000009</v>
      </c>
      <c r="R194" s="8">
        <f t="shared" si="57"/>
        <v>6763.7107999999998</v>
      </c>
      <c r="S194" s="8">
        <f t="shared" si="58"/>
        <v>9662.4439999999995</v>
      </c>
      <c r="T194" s="8">
        <f t="shared" si="59"/>
        <v>12561.177200000002</v>
      </c>
      <c r="V194" s="13">
        <v>0.52500000000000002</v>
      </c>
      <c r="W194" s="13">
        <v>0.75</v>
      </c>
      <c r="X194" s="13">
        <v>0.97499999999999998</v>
      </c>
    </row>
    <row r="195" spans="1:24" ht="64" x14ac:dyDescent="0.2">
      <c r="A195" s="9" t="s">
        <v>14</v>
      </c>
      <c r="B195" s="10" t="s">
        <v>336</v>
      </c>
      <c r="C195" s="8">
        <v>2</v>
      </c>
      <c r="D195" s="11" t="s">
        <v>35</v>
      </c>
      <c r="E195" s="12">
        <v>77.91</v>
      </c>
      <c r="F195" s="12">
        <v>155.82</v>
      </c>
      <c r="G195" s="8">
        <v>52</v>
      </c>
      <c r="H195" s="8">
        <v>72</v>
      </c>
      <c r="I195" s="8">
        <v>101</v>
      </c>
      <c r="J195" s="55">
        <f>C195*0.335</f>
        <v>0.67</v>
      </c>
      <c r="K195" s="8">
        <v>2200</v>
      </c>
      <c r="N195" s="8">
        <f t="shared" si="60"/>
        <v>4.2748999999999997</v>
      </c>
      <c r="O195" s="8">
        <v>6.1070000000000002</v>
      </c>
      <c r="P195" s="8">
        <f t="shared" si="61"/>
        <v>7.9391000000000007</v>
      </c>
      <c r="R195" s="8">
        <f t="shared" si="57"/>
        <v>6301.2025999999996</v>
      </c>
      <c r="S195" s="8">
        <f t="shared" si="58"/>
        <v>9001.7180000000008</v>
      </c>
      <c r="T195" s="8">
        <f t="shared" si="59"/>
        <v>11702.233400000001</v>
      </c>
      <c r="V195" s="13">
        <v>0.52500000000000002</v>
      </c>
      <c r="W195" s="13">
        <v>0.75</v>
      </c>
      <c r="X195" s="13">
        <v>0.97499999999999998</v>
      </c>
    </row>
    <row r="196" spans="1:24" ht="64" x14ac:dyDescent="0.2">
      <c r="A196" s="9" t="s">
        <v>15</v>
      </c>
      <c r="B196" s="10" t="s">
        <v>337</v>
      </c>
      <c r="C196" s="8">
        <v>1</v>
      </c>
      <c r="D196" s="11" t="s">
        <v>35</v>
      </c>
      <c r="E196" s="12">
        <v>104.21</v>
      </c>
      <c r="F196" s="12">
        <v>104.21</v>
      </c>
      <c r="G196" s="8">
        <v>52</v>
      </c>
      <c r="H196" s="8">
        <v>72</v>
      </c>
      <c r="I196" s="8">
        <v>101</v>
      </c>
      <c r="N196" s="8">
        <f t="shared" si="60"/>
        <v>4.9748999999999999</v>
      </c>
      <c r="O196" s="8">
        <v>7.1070000000000002</v>
      </c>
      <c r="P196" s="8">
        <f t="shared" si="61"/>
        <v>9.2391000000000005</v>
      </c>
      <c r="V196" s="13"/>
      <c r="W196" s="13"/>
      <c r="X196" s="13"/>
    </row>
    <row r="197" spans="1:24" ht="48" x14ac:dyDescent="0.2">
      <c r="A197" s="9" t="s">
        <v>16</v>
      </c>
      <c r="B197" s="10" t="s">
        <v>338</v>
      </c>
      <c r="C197" s="8">
        <v>501</v>
      </c>
      <c r="D197" s="11" t="s">
        <v>34</v>
      </c>
      <c r="E197" s="12">
        <v>5</v>
      </c>
      <c r="F197" s="12">
        <v>2505</v>
      </c>
      <c r="G197" s="8">
        <v>52</v>
      </c>
      <c r="H197" s="8">
        <v>72</v>
      </c>
      <c r="I197" s="8">
        <v>101</v>
      </c>
      <c r="K197" s="8">
        <v>2200</v>
      </c>
      <c r="N197" s="8">
        <f t="shared" si="60"/>
        <v>5.6748999999999992</v>
      </c>
      <c r="O197" s="8">
        <v>8.1069999999999993</v>
      </c>
      <c r="P197" s="8">
        <f t="shared" si="61"/>
        <v>10.539099999999999</v>
      </c>
      <c r="V197" s="13">
        <v>0.52500000000000002</v>
      </c>
      <c r="W197" s="13">
        <v>0.75</v>
      </c>
      <c r="X197" s="13">
        <v>0.97499999999999998</v>
      </c>
    </row>
    <row r="198" spans="1:24" ht="48" x14ac:dyDescent="0.2">
      <c r="A198" s="9" t="s">
        <v>17</v>
      </c>
      <c r="B198" s="10" t="s">
        <v>339</v>
      </c>
      <c r="C198" s="8">
        <v>21</v>
      </c>
      <c r="D198" s="11" t="s">
        <v>34</v>
      </c>
      <c r="E198" s="12">
        <v>10</v>
      </c>
      <c r="F198" s="12">
        <v>210</v>
      </c>
      <c r="G198" s="8">
        <v>52</v>
      </c>
      <c r="H198" s="8">
        <v>72</v>
      </c>
      <c r="I198" s="8">
        <v>101</v>
      </c>
      <c r="V198" s="13"/>
      <c r="W198" s="13"/>
      <c r="X198" s="13"/>
    </row>
    <row r="199" spans="1:24" ht="64" x14ac:dyDescent="0.2">
      <c r="A199" s="9" t="s">
        <v>18</v>
      </c>
      <c r="B199" s="10" t="s">
        <v>340</v>
      </c>
      <c r="C199" s="8">
        <v>59</v>
      </c>
      <c r="D199" s="11" t="s">
        <v>35</v>
      </c>
      <c r="E199" s="12">
        <v>70.819999999999993</v>
      </c>
      <c r="F199" s="12">
        <v>4178.38</v>
      </c>
      <c r="G199" s="8">
        <v>70</v>
      </c>
      <c r="H199" s="8">
        <v>93</v>
      </c>
      <c r="I199" s="8">
        <v>131</v>
      </c>
      <c r="J199" s="55">
        <f>C199*0.1025</f>
        <v>6.0474999999999994</v>
      </c>
      <c r="K199" s="8">
        <v>2000</v>
      </c>
      <c r="N199" s="8">
        <v>0.24</v>
      </c>
      <c r="O199" s="8">
        <v>0.24</v>
      </c>
      <c r="P199" s="8">
        <v>0.24</v>
      </c>
      <c r="R199" s="8">
        <f>N199*K199*J199</f>
        <v>2902.7999999999997</v>
      </c>
      <c r="S199" s="8">
        <f>O199*K199*J199</f>
        <v>2902.7999999999997</v>
      </c>
      <c r="T199" s="8">
        <f>P199*K199*J199</f>
        <v>2902.7999999999997</v>
      </c>
      <c r="V199" s="13">
        <v>0.63</v>
      </c>
      <c r="W199" s="13">
        <v>3</v>
      </c>
      <c r="X199" s="13">
        <v>6</v>
      </c>
    </row>
    <row r="200" spans="1:24" ht="80" x14ac:dyDescent="0.2">
      <c r="A200" s="9" t="s">
        <v>19</v>
      </c>
      <c r="B200" s="10" t="s">
        <v>341</v>
      </c>
      <c r="C200" s="8">
        <v>22</v>
      </c>
      <c r="D200" s="11" t="s">
        <v>35</v>
      </c>
      <c r="E200" s="12">
        <v>143.35</v>
      </c>
      <c r="F200" s="12">
        <v>3153.7</v>
      </c>
      <c r="G200" s="8">
        <v>43</v>
      </c>
      <c r="H200" s="8">
        <v>60</v>
      </c>
      <c r="I200" s="8">
        <v>79</v>
      </c>
      <c r="J200" s="55">
        <f>C200*0.1</f>
        <v>2.2000000000000002</v>
      </c>
      <c r="K200" s="8">
        <v>2180</v>
      </c>
      <c r="N200" s="8">
        <v>7.9000000000000001E-2</v>
      </c>
      <c r="O200" s="8">
        <v>7.9000000000000001E-2</v>
      </c>
      <c r="P200" s="8">
        <v>7.9000000000000001E-2</v>
      </c>
      <c r="R200" s="8">
        <f>N200*K200*J200</f>
        <v>378.88400000000001</v>
      </c>
      <c r="S200" s="8">
        <f>O200*K200*J200</f>
        <v>378.88400000000001</v>
      </c>
      <c r="T200" s="8">
        <f>P200*K200*J200</f>
        <v>378.88400000000001</v>
      </c>
      <c r="V200" s="13">
        <v>1.5</v>
      </c>
      <c r="W200" s="13">
        <v>1.5</v>
      </c>
      <c r="X200" s="13">
        <v>1.5</v>
      </c>
    </row>
    <row r="201" spans="1:24" ht="80" x14ac:dyDescent="0.2">
      <c r="A201" s="9" t="s">
        <v>6</v>
      </c>
      <c r="B201" s="10" t="s">
        <v>342</v>
      </c>
      <c r="C201" s="8">
        <v>26</v>
      </c>
      <c r="D201" s="11" t="s">
        <v>34</v>
      </c>
      <c r="E201" s="12">
        <v>97</v>
      </c>
      <c r="F201" s="12">
        <v>2522</v>
      </c>
      <c r="G201" s="8">
        <v>43</v>
      </c>
      <c r="H201" s="8">
        <v>60</v>
      </c>
      <c r="I201" s="8">
        <v>79</v>
      </c>
      <c r="J201" s="55">
        <f>C201*0.425*0.055</f>
        <v>0.6077499999999999</v>
      </c>
      <c r="K201" s="8">
        <v>470</v>
      </c>
      <c r="N201" s="8">
        <f t="shared" ref="N201:N209" si="62">0.107*0.7</f>
        <v>7.4899999999999994E-2</v>
      </c>
      <c r="O201" s="8">
        <v>0.107</v>
      </c>
      <c r="P201" s="8">
        <f t="shared" ref="P201:P209" si="63">O201*1.3</f>
        <v>0.1391</v>
      </c>
      <c r="R201" s="8">
        <f>N201*K201*J201</f>
        <v>21.394623249999995</v>
      </c>
      <c r="S201" s="8">
        <f>O201*K201*J201</f>
        <v>30.563747499999995</v>
      </c>
      <c r="T201" s="8">
        <f>P201*K201*J201</f>
        <v>39.732871749999994</v>
      </c>
      <c r="V201" s="13">
        <v>1.2</v>
      </c>
      <c r="W201" s="13">
        <v>2.1800000000000002</v>
      </c>
      <c r="X201" s="13">
        <v>3.8</v>
      </c>
    </row>
    <row r="202" spans="1:24" ht="80" x14ac:dyDescent="0.2">
      <c r="A202" s="9" t="s">
        <v>9</v>
      </c>
      <c r="B202" s="10" t="s">
        <v>343</v>
      </c>
      <c r="C202" s="8">
        <v>2</v>
      </c>
      <c r="D202" s="11" t="s">
        <v>36</v>
      </c>
      <c r="E202" s="12">
        <v>270</v>
      </c>
      <c r="F202" s="12">
        <v>540</v>
      </c>
      <c r="G202" s="8">
        <v>43</v>
      </c>
      <c r="H202" s="8">
        <v>60</v>
      </c>
      <c r="I202" s="8">
        <v>79</v>
      </c>
      <c r="J202" s="55">
        <f>1.248*0.125*0.215*2</f>
        <v>6.7080000000000001E-2</v>
      </c>
      <c r="K202" s="8">
        <v>470</v>
      </c>
      <c r="N202" s="8">
        <f t="shared" si="62"/>
        <v>7.4899999999999994E-2</v>
      </c>
      <c r="O202" s="8">
        <v>0.107</v>
      </c>
      <c r="P202" s="8">
        <f t="shared" si="63"/>
        <v>0.1391</v>
      </c>
      <c r="R202" s="8">
        <f t="shared" ref="R202:R209" si="64">N202*K202*J202</f>
        <v>2.3614172399999998</v>
      </c>
      <c r="S202" s="8">
        <f t="shared" ref="S202:S209" si="65">O202*K202*J202</f>
        <v>3.3734532000000002</v>
      </c>
      <c r="T202" s="8">
        <f t="shared" ref="T202:T209" si="66">P202*K202*J202</f>
        <v>4.3854891599999997</v>
      </c>
      <c r="V202" s="13">
        <v>1.2</v>
      </c>
      <c r="W202" s="13">
        <v>2.1800000000000002</v>
      </c>
      <c r="X202" s="13">
        <v>3.8</v>
      </c>
    </row>
    <row r="203" spans="1:24" ht="96" x14ac:dyDescent="0.2">
      <c r="A203" s="9" t="s">
        <v>10</v>
      </c>
      <c r="B203" s="10" t="s">
        <v>344</v>
      </c>
      <c r="C203" s="8">
        <v>9</v>
      </c>
      <c r="D203" s="11" t="s">
        <v>36</v>
      </c>
      <c r="E203" s="12">
        <v>95</v>
      </c>
      <c r="F203" s="12">
        <v>855</v>
      </c>
      <c r="G203" s="8">
        <v>43</v>
      </c>
      <c r="H203" s="8">
        <v>60</v>
      </c>
      <c r="I203" s="8">
        <v>79</v>
      </c>
      <c r="J203" s="55">
        <f>0.15*0.215*0.685*9</f>
        <v>0.19882125000000003</v>
      </c>
      <c r="K203" s="8">
        <v>470</v>
      </c>
      <c r="N203" s="8">
        <f t="shared" si="62"/>
        <v>7.4899999999999994E-2</v>
      </c>
      <c r="O203" s="8">
        <v>0.107</v>
      </c>
      <c r="P203" s="8">
        <f t="shared" si="63"/>
        <v>0.1391</v>
      </c>
      <c r="R203" s="8">
        <f t="shared" si="64"/>
        <v>6.9991044637500002</v>
      </c>
      <c r="S203" s="8">
        <f t="shared" si="65"/>
        <v>9.998720662500002</v>
      </c>
      <c r="T203" s="8">
        <f t="shared" si="66"/>
        <v>12.998336861250001</v>
      </c>
      <c r="V203" s="13">
        <v>1.2</v>
      </c>
      <c r="W203" s="13">
        <v>2.1800000000000002</v>
      </c>
      <c r="X203" s="13">
        <v>3.8</v>
      </c>
    </row>
    <row r="204" spans="1:24" ht="96" x14ac:dyDescent="0.2">
      <c r="A204" s="9" t="s">
        <v>11</v>
      </c>
      <c r="B204" s="10" t="s">
        <v>345</v>
      </c>
      <c r="C204" s="8">
        <v>6</v>
      </c>
      <c r="D204" s="11" t="s">
        <v>36</v>
      </c>
      <c r="E204" s="12">
        <v>138</v>
      </c>
      <c r="F204" s="12">
        <v>828</v>
      </c>
      <c r="G204" s="8">
        <v>43</v>
      </c>
      <c r="H204" s="8">
        <v>60</v>
      </c>
      <c r="I204" s="8">
        <v>79</v>
      </c>
      <c r="J204" s="55">
        <f>0.15*0.215*1.135*C204</f>
        <v>0.21962250000000003</v>
      </c>
      <c r="K204" s="8">
        <v>470</v>
      </c>
      <c r="N204" s="8">
        <f t="shared" si="62"/>
        <v>7.4899999999999994E-2</v>
      </c>
      <c r="O204" s="8">
        <v>0.107</v>
      </c>
      <c r="P204" s="8">
        <f t="shared" si="63"/>
        <v>0.1391</v>
      </c>
      <c r="R204" s="8">
        <f t="shared" si="64"/>
        <v>7.7313708674999999</v>
      </c>
      <c r="S204" s="8">
        <f t="shared" si="65"/>
        <v>11.044815525000001</v>
      </c>
      <c r="T204" s="8">
        <f t="shared" si="66"/>
        <v>14.3582601825</v>
      </c>
      <c r="V204" s="13">
        <v>1.2</v>
      </c>
      <c r="W204" s="13">
        <v>2.1800000000000002</v>
      </c>
      <c r="X204" s="13">
        <v>3.8</v>
      </c>
    </row>
    <row r="205" spans="1:24" ht="96" x14ac:dyDescent="0.2">
      <c r="A205" s="9" t="s">
        <v>12</v>
      </c>
      <c r="B205" s="10" t="s">
        <v>346</v>
      </c>
      <c r="C205" s="8">
        <v>19</v>
      </c>
      <c r="D205" s="11" t="s">
        <v>36</v>
      </c>
      <c r="E205" s="12">
        <v>150</v>
      </c>
      <c r="F205" s="12">
        <v>2850</v>
      </c>
      <c r="G205" s="8">
        <v>43</v>
      </c>
      <c r="H205" s="8">
        <v>60</v>
      </c>
      <c r="I205" s="8">
        <v>79</v>
      </c>
      <c r="J205" s="55">
        <f>0.15*0.215*1.248*C205</f>
        <v>0.76471199999999995</v>
      </c>
      <c r="K205" s="8">
        <v>470</v>
      </c>
      <c r="N205" s="8">
        <f t="shared" si="62"/>
        <v>7.4899999999999994E-2</v>
      </c>
      <c r="O205" s="8">
        <v>0.107</v>
      </c>
      <c r="P205" s="8">
        <f t="shared" si="63"/>
        <v>0.1391</v>
      </c>
      <c r="R205" s="8">
        <f t="shared" si="64"/>
        <v>26.920156535999993</v>
      </c>
      <c r="S205" s="8">
        <f t="shared" si="65"/>
        <v>38.457366479999997</v>
      </c>
      <c r="T205" s="8">
        <f t="shared" si="66"/>
        <v>49.994576423999995</v>
      </c>
      <c r="V205" s="13">
        <v>1.2</v>
      </c>
      <c r="W205" s="13">
        <v>2.1800000000000002</v>
      </c>
      <c r="X205" s="13">
        <v>3.8</v>
      </c>
    </row>
    <row r="206" spans="1:24" ht="96" x14ac:dyDescent="0.2">
      <c r="A206" s="9" t="s">
        <v>13</v>
      </c>
      <c r="B206" s="10" t="s">
        <v>347</v>
      </c>
      <c r="C206" s="8">
        <v>2</v>
      </c>
      <c r="D206" s="11" t="s">
        <v>36</v>
      </c>
      <c r="E206" s="12">
        <v>157.5</v>
      </c>
      <c r="F206" s="12">
        <v>315</v>
      </c>
      <c r="G206" s="8">
        <v>43</v>
      </c>
      <c r="H206" s="8">
        <v>60</v>
      </c>
      <c r="I206" s="8">
        <v>79</v>
      </c>
      <c r="J206" s="55">
        <f>0.15*0.215*1.36*C206</f>
        <v>8.7720000000000006E-2</v>
      </c>
      <c r="K206" s="8">
        <v>470</v>
      </c>
      <c r="N206" s="8">
        <f t="shared" si="62"/>
        <v>7.4899999999999994E-2</v>
      </c>
      <c r="O206" s="8">
        <v>0.107</v>
      </c>
      <c r="P206" s="8">
        <f t="shared" si="63"/>
        <v>0.1391</v>
      </c>
      <c r="R206" s="8">
        <f t="shared" si="64"/>
        <v>3.0880071599999996</v>
      </c>
      <c r="S206" s="8">
        <f t="shared" si="65"/>
        <v>4.4114388</v>
      </c>
      <c r="T206" s="8">
        <f t="shared" si="66"/>
        <v>5.7348704399999999</v>
      </c>
      <c r="V206" s="13">
        <v>1.2</v>
      </c>
      <c r="W206" s="13">
        <v>2.1800000000000002</v>
      </c>
      <c r="X206" s="13">
        <v>3.8</v>
      </c>
    </row>
    <row r="207" spans="1:24" ht="96" x14ac:dyDescent="0.2">
      <c r="A207" s="9" t="s">
        <v>14</v>
      </c>
      <c r="B207" s="10" t="s">
        <v>348</v>
      </c>
      <c r="C207" s="8">
        <v>1</v>
      </c>
      <c r="D207" s="11" t="s">
        <v>36</v>
      </c>
      <c r="E207" s="12">
        <v>205</v>
      </c>
      <c r="F207" s="12">
        <v>205</v>
      </c>
      <c r="G207" s="8">
        <v>43</v>
      </c>
      <c r="H207" s="8">
        <v>60</v>
      </c>
      <c r="I207" s="8">
        <v>79</v>
      </c>
      <c r="J207" s="55">
        <f>0.15*0.215*1.698*C207</f>
        <v>5.4760499999999997E-2</v>
      </c>
      <c r="K207" s="8">
        <v>470</v>
      </c>
      <c r="N207" s="8">
        <f t="shared" si="62"/>
        <v>7.4899999999999994E-2</v>
      </c>
      <c r="O207" s="8">
        <v>0.107</v>
      </c>
      <c r="P207" s="8">
        <f t="shared" si="63"/>
        <v>0.1391</v>
      </c>
      <c r="R207" s="8">
        <f t="shared" si="64"/>
        <v>1.9277338814999996</v>
      </c>
      <c r="S207" s="8">
        <f t="shared" si="65"/>
        <v>2.7539055449999998</v>
      </c>
      <c r="T207" s="8">
        <f t="shared" si="66"/>
        <v>3.5800772084999997</v>
      </c>
      <c r="V207" s="13">
        <v>1.2</v>
      </c>
      <c r="W207" s="13">
        <v>2.1800000000000002</v>
      </c>
      <c r="X207" s="13">
        <v>3.8</v>
      </c>
    </row>
    <row r="208" spans="1:24" ht="96" x14ac:dyDescent="0.2">
      <c r="A208" s="9" t="s">
        <v>15</v>
      </c>
      <c r="B208" s="10" t="s">
        <v>349</v>
      </c>
      <c r="C208" s="8">
        <v>4</v>
      </c>
      <c r="D208" s="11" t="s">
        <v>36</v>
      </c>
      <c r="E208" s="12">
        <v>212</v>
      </c>
      <c r="F208" s="12">
        <v>848</v>
      </c>
      <c r="G208" s="8">
        <v>43</v>
      </c>
      <c r="H208" s="8">
        <v>60</v>
      </c>
      <c r="I208" s="8">
        <v>79</v>
      </c>
      <c r="J208" s="55">
        <f>0.15*0.215*1.81*C208</f>
        <v>0.23349</v>
      </c>
      <c r="K208" s="8">
        <v>470</v>
      </c>
      <c r="N208" s="8">
        <f t="shared" si="62"/>
        <v>7.4899999999999994E-2</v>
      </c>
      <c r="O208" s="8">
        <v>0.107</v>
      </c>
      <c r="P208" s="8">
        <f t="shared" si="63"/>
        <v>0.1391</v>
      </c>
      <c r="R208" s="8">
        <f t="shared" si="64"/>
        <v>8.2195484699999994</v>
      </c>
      <c r="S208" s="8">
        <f t="shared" si="65"/>
        <v>11.7422121</v>
      </c>
      <c r="T208" s="8">
        <f t="shared" si="66"/>
        <v>15.26487573</v>
      </c>
      <c r="V208" s="13">
        <v>1.2</v>
      </c>
      <c r="W208" s="13">
        <v>2.1800000000000002</v>
      </c>
      <c r="X208" s="13">
        <v>3.8</v>
      </c>
    </row>
    <row r="209" spans="1:24" ht="96" x14ac:dyDescent="0.2">
      <c r="A209" s="9" t="s">
        <v>16</v>
      </c>
      <c r="B209" s="10" t="s">
        <v>350</v>
      </c>
      <c r="C209" s="8">
        <v>1</v>
      </c>
      <c r="D209" s="11" t="s">
        <v>36</v>
      </c>
      <c r="E209" s="12">
        <v>310</v>
      </c>
      <c r="F209" s="12">
        <v>310</v>
      </c>
      <c r="G209" s="8">
        <v>43</v>
      </c>
      <c r="H209" s="8">
        <v>60</v>
      </c>
      <c r="I209" s="8">
        <v>79</v>
      </c>
      <c r="J209" s="55">
        <f>0.15*0.215*2.7</f>
        <v>8.7075000000000014E-2</v>
      </c>
      <c r="K209" s="8">
        <v>470</v>
      </c>
      <c r="N209" s="8">
        <f t="shared" si="62"/>
        <v>7.4899999999999994E-2</v>
      </c>
      <c r="O209" s="8">
        <v>0.107</v>
      </c>
      <c r="P209" s="8">
        <f t="shared" si="63"/>
        <v>0.1391</v>
      </c>
      <c r="R209" s="8">
        <f t="shared" si="64"/>
        <v>3.0653012250000002</v>
      </c>
      <c r="S209" s="8">
        <f t="shared" si="65"/>
        <v>4.3790017500000005</v>
      </c>
      <c r="T209" s="8">
        <f t="shared" si="66"/>
        <v>5.6927022750000003</v>
      </c>
      <c r="V209" s="13">
        <v>1.2</v>
      </c>
      <c r="W209" s="13">
        <v>2.1800000000000002</v>
      </c>
      <c r="X209" s="13">
        <v>3.8</v>
      </c>
    </row>
    <row r="210" spans="1:24" ht="64" x14ac:dyDescent="0.2">
      <c r="A210" s="9" t="s">
        <v>17</v>
      </c>
      <c r="B210" s="10" t="s">
        <v>351</v>
      </c>
      <c r="C210" s="8">
        <v>1187</v>
      </c>
      <c r="D210" s="11" t="s">
        <v>35</v>
      </c>
      <c r="E210" s="12">
        <v>14.06</v>
      </c>
      <c r="F210" s="12">
        <v>16689.22</v>
      </c>
      <c r="G210" s="8">
        <v>52</v>
      </c>
      <c r="H210" s="8">
        <v>72</v>
      </c>
      <c r="I210" s="8">
        <v>101</v>
      </c>
      <c r="J210" s="55">
        <f>C210*5*0.2*(0.005/2)^2*3.14</f>
        <v>2.3294875E-2</v>
      </c>
      <c r="K210" s="8">
        <v>8000</v>
      </c>
      <c r="N210" s="8">
        <v>6.15</v>
      </c>
      <c r="O210" s="8">
        <v>6.15</v>
      </c>
      <c r="P210" s="8">
        <v>6.15</v>
      </c>
      <c r="R210" s="8">
        <f t="shared" ref="R210" si="67">N210*K210*J210</f>
        <v>1146.1078499999999</v>
      </c>
      <c r="S210" s="8">
        <f t="shared" ref="S210" si="68">O210*K210*J210</f>
        <v>1146.1078499999999</v>
      </c>
      <c r="T210" s="8">
        <f t="shared" ref="T210" si="69">P210*K210*J210</f>
        <v>1146.1078499999999</v>
      </c>
      <c r="V210" s="13">
        <v>40.200000000000003</v>
      </c>
      <c r="W210" s="13">
        <v>48.36</v>
      </c>
      <c r="X210" s="13">
        <v>51.48</v>
      </c>
    </row>
    <row r="211" spans="1:24" ht="32" x14ac:dyDescent="0.2">
      <c r="A211" s="9" t="s">
        <v>18</v>
      </c>
      <c r="B211" s="10" t="s">
        <v>352</v>
      </c>
      <c r="C211" s="8">
        <v>311</v>
      </c>
      <c r="D211" s="11" t="s">
        <v>35</v>
      </c>
      <c r="E211" s="12">
        <v>16.45</v>
      </c>
      <c r="F211" s="12">
        <v>5115.95</v>
      </c>
      <c r="G211" s="8">
        <v>52</v>
      </c>
      <c r="H211" s="8">
        <v>72</v>
      </c>
      <c r="I211" s="8">
        <v>101</v>
      </c>
      <c r="J211" s="55">
        <f>C211*0.225</f>
        <v>69.975000000000009</v>
      </c>
      <c r="K211" s="8">
        <v>1650</v>
      </c>
      <c r="V211" s="13">
        <v>0.1</v>
      </c>
      <c r="W211" s="13">
        <v>1.54</v>
      </c>
      <c r="X211" s="13">
        <v>3.49</v>
      </c>
    </row>
    <row r="212" spans="1:24" ht="64" x14ac:dyDescent="0.2">
      <c r="A212" s="9" t="s">
        <v>19</v>
      </c>
      <c r="B212" s="10" t="s">
        <v>353</v>
      </c>
      <c r="C212" s="8">
        <v>248</v>
      </c>
      <c r="D212" s="11" t="s">
        <v>34</v>
      </c>
      <c r="E212" s="12">
        <v>8.15</v>
      </c>
      <c r="F212" s="12">
        <v>2021.2</v>
      </c>
      <c r="G212" s="8">
        <v>50</v>
      </c>
      <c r="H212" s="8">
        <v>75</v>
      </c>
      <c r="I212" s="8">
        <v>100</v>
      </c>
      <c r="J212" s="55">
        <f>248*0.1*0.032</f>
        <v>0.79360000000000008</v>
      </c>
      <c r="K212" s="8">
        <v>1380</v>
      </c>
      <c r="N212" s="8">
        <v>3.16</v>
      </c>
      <c r="O212" s="8">
        <v>3.16</v>
      </c>
      <c r="P212" s="8">
        <v>3.16</v>
      </c>
      <c r="R212" s="8">
        <f>N212*K212*J212</f>
        <v>3460.7308800000005</v>
      </c>
      <c r="S212" s="8">
        <f>O212*K212*J212</f>
        <v>3460.7308800000005</v>
      </c>
      <c r="T212" s="8">
        <f>P212*K212*J212</f>
        <v>3460.7308800000005</v>
      </c>
      <c r="V212" s="13">
        <v>69.400000000000006</v>
      </c>
      <c r="W212" s="13">
        <v>94.7</v>
      </c>
      <c r="X212" s="13">
        <v>120</v>
      </c>
    </row>
    <row r="213" spans="1:24" ht="64" x14ac:dyDescent="0.2">
      <c r="A213" s="9" t="s">
        <v>6</v>
      </c>
      <c r="B213" s="10" t="s">
        <v>354</v>
      </c>
      <c r="C213" s="8">
        <v>150</v>
      </c>
      <c r="D213" s="11" t="s">
        <v>34</v>
      </c>
      <c r="E213" s="12">
        <v>8.15</v>
      </c>
      <c r="F213" s="12">
        <v>1222.5</v>
      </c>
      <c r="G213" s="8">
        <v>50</v>
      </c>
      <c r="H213" s="8">
        <v>75</v>
      </c>
      <c r="I213" s="8">
        <v>100</v>
      </c>
      <c r="J213" s="55">
        <f>C213*0.1*0.032</f>
        <v>0.48</v>
      </c>
      <c r="K213" s="8">
        <v>1380</v>
      </c>
      <c r="N213" s="8">
        <v>3.16</v>
      </c>
      <c r="O213" s="8">
        <v>3.16</v>
      </c>
      <c r="P213" s="8">
        <v>3.16</v>
      </c>
      <c r="R213" s="8">
        <f>N213*K213*J213</f>
        <v>2093.1840000000002</v>
      </c>
      <c r="S213" s="8">
        <f>O213*K213*J213</f>
        <v>2093.1840000000002</v>
      </c>
      <c r="T213" s="8">
        <f>P213*K213*J213</f>
        <v>2093.1840000000002</v>
      </c>
      <c r="V213" s="13">
        <v>69.400000000000006</v>
      </c>
      <c r="W213" s="13">
        <v>94.7</v>
      </c>
      <c r="X213" s="13">
        <v>120</v>
      </c>
    </row>
    <row r="214" spans="1:24" ht="32" x14ac:dyDescent="0.2">
      <c r="A214" s="9" t="s">
        <v>9</v>
      </c>
      <c r="B214" s="10" t="s">
        <v>355</v>
      </c>
      <c r="C214" s="8">
        <v>611</v>
      </c>
      <c r="D214" s="11" t="s">
        <v>36</v>
      </c>
      <c r="E214" s="12">
        <v>1.78</v>
      </c>
      <c r="F214" s="12">
        <v>1087.58</v>
      </c>
      <c r="G214" s="8">
        <v>52</v>
      </c>
      <c r="H214" s="8">
        <v>72</v>
      </c>
      <c r="I214" s="8">
        <v>101</v>
      </c>
      <c r="J214" s="55">
        <f>0.101*0.066*0.01*611</f>
        <v>4.072926000000001E-2</v>
      </c>
      <c r="V214" s="13"/>
      <c r="W214" s="13"/>
      <c r="X214" s="13"/>
    </row>
    <row r="215" spans="1:24" x14ac:dyDescent="0.2">
      <c r="B215" s="15"/>
      <c r="C215" s="1" t="s">
        <v>139</v>
      </c>
      <c r="K215" s="8" t="s">
        <v>142</v>
      </c>
      <c r="V215" s="13"/>
      <c r="W215" s="13"/>
      <c r="X215" s="13"/>
    </row>
    <row r="216" spans="1:24" ht="48" x14ac:dyDescent="0.2">
      <c r="A216" s="9" t="s">
        <v>10</v>
      </c>
      <c r="B216" s="10" t="s">
        <v>356</v>
      </c>
      <c r="C216" s="8">
        <v>6</v>
      </c>
      <c r="D216" s="11" t="s">
        <v>36</v>
      </c>
      <c r="E216" s="12">
        <v>23.17</v>
      </c>
      <c r="F216" s="12">
        <v>139.02000000000001</v>
      </c>
      <c r="G216" s="8">
        <v>50</v>
      </c>
      <c r="H216" s="8">
        <v>75</v>
      </c>
      <c r="I216" s="8">
        <v>100</v>
      </c>
      <c r="J216" s="55">
        <f>0.572*0.088*0.0016*6</f>
        <v>4.8322559999999998E-4</v>
      </c>
      <c r="K216" s="8">
        <v>7800</v>
      </c>
      <c r="L216" s="8" t="s">
        <v>138</v>
      </c>
      <c r="N216" s="8">
        <v>0.47</v>
      </c>
      <c r="O216" s="8">
        <v>1.46</v>
      </c>
      <c r="P216" s="8">
        <v>2.89</v>
      </c>
      <c r="R216" s="8">
        <f>N216*K216*J216</f>
        <v>1.7715050496</v>
      </c>
      <c r="S216" s="8">
        <f>O216*K216*J216</f>
        <v>5.5029731328000002</v>
      </c>
      <c r="T216" s="8">
        <f>P216*K216*J216</f>
        <v>10.8928714752</v>
      </c>
      <c r="V216" s="13">
        <v>6</v>
      </c>
      <c r="W216" s="13">
        <v>29.36</v>
      </c>
      <c r="X216" s="13">
        <v>77</v>
      </c>
    </row>
    <row r="217" spans="1:24" ht="48" x14ac:dyDescent="0.2">
      <c r="A217" s="9" t="s">
        <v>11</v>
      </c>
      <c r="B217" s="10" t="s">
        <v>357</v>
      </c>
      <c r="C217" s="8">
        <v>16</v>
      </c>
      <c r="D217" s="11" t="s">
        <v>36</v>
      </c>
      <c r="E217" s="12">
        <v>25.39</v>
      </c>
      <c r="F217" s="12">
        <v>406.24</v>
      </c>
      <c r="G217" s="8">
        <v>50</v>
      </c>
      <c r="H217" s="8">
        <v>75</v>
      </c>
      <c r="I217" s="8">
        <v>100</v>
      </c>
      <c r="J217" s="55">
        <f>0.685*0.088*0.0016*16</f>
        <v>1.5431680000000001E-3</v>
      </c>
      <c r="K217" s="8">
        <v>7800</v>
      </c>
      <c r="L217" s="8" t="s">
        <v>138</v>
      </c>
      <c r="N217" s="8">
        <v>0.47</v>
      </c>
      <c r="O217" s="8">
        <v>1.46</v>
      </c>
      <c r="P217" s="8">
        <v>2.89</v>
      </c>
      <c r="R217" s="8">
        <f t="shared" ref="R217:R230" si="70">N217*K217*J217</f>
        <v>5.6572538880000005</v>
      </c>
      <c r="S217" s="8">
        <f t="shared" ref="S217:S230" si="71">O217*K217*J217</f>
        <v>17.573597184</v>
      </c>
      <c r="T217" s="8">
        <f t="shared" ref="T217:T230" si="72">P217*K217*J217</f>
        <v>34.786093056000006</v>
      </c>
      <c r="V217" s="13">
        <v>6</v>
      </c>
      <c r="W217" s="13">
        <v>29.36</v>
      </c>
      <c r="X217" s="13">
        <v>77</v>
      </c>
    </row>
    <row r="218" spans="1:24" ht="48" x14ac:dyDescent="0.2">
      <c r="A218" s="9" t="s">
        <v>12</v>
      </c>
      <c r="B218" s="10" t="s">
        <v>358</v>
      </c>
      <c r="C218" s="8">
        <v>1</v>
      </c>
      <c r="D218" s="11" t="s">
        <v>36</v>
      </c>
      <c r="E218" s="12">
        <v>32.630000000000003</v>
      </c>
      <c r="F218" s="12">
        <v>32.630000000000003</v>
      </c>
      <c r="G218" s="8">
        <v>50</v>
      </c>
      <c r="H218" s="8">
        <v>75</v>
      </c>
      <c r="I218" s="8">
        <v>100</v>
      </c>
      <c r="J218" s="55">
        <f>0.91*0.088*0.0016</f>
        <v>1.28128E-4</v>
      </c>
      <c r="K218" s="8">
        <v>7800</v>
      </c>
      <c r="L218" s="8" t="s">
        <v>138</v>
      </c>
      <c r="N218" s="8">
        <v>0.47</v>
      </c>
      <c r="O218" s="8">
        <v>1.46</v>
      </c>
      <c r="P218" s="8">
        <v>2.89</v>
      </c>
      <c r="R218" s="8">
        <f t="shared" si="70"/>
        <v>0.46971724800000003</v>
      </c>
      <c r="S218" s="8">
        <f t="shared" si="71"/>
        <v>1.459121664</v>
      </c>
      <c r="T218" s="8">
        <f t="shared" si="72"/>
        <v>2.888261376</v>
      </c>
      <c r="V218" s="13">
        <v>6</v>
      </c>
      <c r="W218" s="13">
        <v>29.36</v>
      </c>
      <c r="X218" s="13">
        <v>77</v>
      </c>
    </row>
    <row r="219" spans="1:24" ht="48" x14ac:dyDescent="0.2">
      <c r="A219" s="9" t="s">
        <v>13</v>
      </c>
      <c r="B219" s="10" t="s">
        <v>359</v>
      </c>
      <c r="C219" s="8">
        <v>6</v>
      </c>
      <c r="D219" s="11" t="s">
        <v>36</v>
      </c>
      <c r="E219" s="12">
        <v>33.630000000000003</v>
      </c>
      <c r="F219" s="12">
        <v>201.78</v>
      </c>
      <c r="G219" s="8">
        <v>50</v>
      </c>
      <c r="H219" s="8">
        <v>75</v>
      </c>
      <c r="I219" s="8">
        <v>100</v>
      </c>
      <c r="J219" s="55">
        <f>1.022*0.088*0.0016*6</f>
        <v>8.6338560000000014E-4</v>
      </c>
      <c r="K219" s="8">
        <v>7800</v>
      </c>
      <c r="L219" s="8" t="s">
        <v>138</v>
      </c>
      <c r="N219" s="8">
        <v>0.47</v>
      </c>
      <c r="O219" s="8">
        <v>1.46</v>
      </c>
      <c r="P219" s="8">
        <v>2.89</v>
      </c>
      <c r="R219" s="8">
        <f t="shared" si="70"/>
        <v>3.1651716096000007</v>
      </c>
      <c r="S219" s="8">
        <f t="shared" si="71"/>
        <v>9.8322352128000023</v>
      </c>
      <c r="T219" s="8">
        <f t="shared" si="72"/>
        <v>19.462438195200004</v>
      </c>
      <c r="V219" s="13">
        <v>6</v>
      </c>
      <c r="W219" s="13">
        <v>29.36</v>
      </c>
      <c r="X219" s="13">
        <v>77</v>
      </c>
    </row>
    <row r="220" spans="1:24" ht="48" x14ac:dyDescent="0.2">
      <c r="A220" s="9" t="s">
        <v>14</v>
      </c>
      <c r="B220" s="10" t="s">
        <v>360</v>
      </c>
      <c r="C220" s="8">
        <v>10</v>
      </c>
      <c r="D220" s="11" t="s">
        <v>36</v>
      </c>
      <c r="E220" s="12">
        <v>36.06</v>
      </c>
      <c r="F220" s="12">
        <v>360.6</v>
      </c>
      <c r="G220" s="8">
        <v>50</v>
      </c>
      <c r="H220" s="8">
        <v>75</v>
      </c>
      <c r="I220" s="8">
        <v>100</v>
      </c>
      <c r="J220" s="55">
        <f>1.135*0.88*0.0016*10</f>
        <v>1.5980800000000003E-2</v>
      </c>
      <c r="K220" s="8">
        <v>7800</v>
      </c>
      <c r="L220" s="8" t="s">
        <v>138</v>
      </c>
      <c r="N220" s="8">
        <v>0.47</v>
      </c>
      <c r="O220" s="8">
        <v>1.46</v>
      </c>
      <c r="P220" s="8">
        <v>2.89</v>
      </c>
      <c r="R220" s="8">
        <f t="shared" si="70"/>
        <v>58.585612800000014</v>
      </c>
      <c r="S220" s="8">
        <f t="shared" si="71"/>
        <v>181.98935040000003</v>
      </c>
      <c r="T220" s="8">
        <f t="shared" si="72"/>
        <v>360.23919360000008</v>
      </c>
      <c r="V220" s="13">
        <v>6</v>
      </c>
      <c r="W220" s="13">
        <v>29.36</v>
      </c>
      <c r="X220" s="13">
        <v>77</v>
      </c>
    </row>
    <row r="221" spans="1:24" ht="48" x14ac:dyDescent="0.2">
      <c r="A221" s="9" t="s">
        <v>15</v>
      </c>
      <c r="B221" s="10" t="s">
        <v>361</v>
      </c>
      <c r="C221" s="8">
        <v>28</v>
      </c>
      <c r="D221" s="11" t="s">
        <v>36</v>
      </c>
      <c r="E221" s="12">
        <v>41.92</v>
      </c>
      <c r="F221" s="12">
        <v>1173.76</v>
      </c>
      <c r="G221" s="8">
        <v>50</v>
      </c>
      <c r="H221" s="8">
        <v>75</v>
      </c>
      <c r="I221" s="8">
        <v>100</v>
      </c>
      <c r="J221" s="55">
        <f>1.248*0.088*0.0016*28</f>
        <v>4.9201152000000001E-3</v>
      </c>
      <c r="K221" s="8">
        <v>7800</v>
      </c>
      <c r="L221" s="8" t="s">
        <v>138</v>
      </c>
      <c r="N221" s="8">
        <v>0.47</v>
      </c>
      <c r="O221" s="8">
        <v>1.46</v>
      </c>
      <c r="P221" s="8">
        <v>2.89</v>
      </c>
      <c r="R221" s="8">
        <f t="shared" si="70"/>
        <v>18.037142323200001</v>
      </c>
      <c r="S221" s="8">
        <f t="shared" si="71"/>
        <v>56.030271897600002</v>
      </c>
      <c r="T221" s="8">
        <f t="shared" si="72"/>
        <v>110.90923683840001</v>
      </c>
      <c r="V221" s="13">
        <v>6</v>
      </c>
      <c r="W221" s="13">
        <v>29.36</v>
      </c>
      <c r="X221" s="13">
        <v>77</v>
      </c>
    </row>
    <row r="222" spans="1:24" ht="48" x14ac:dyDescent="0.2">
      <c r="A222" s="9" t="s">
        <v>16</v>
      </c>
      <c r="B222" s="10" t="s">
        <v>362</v>
      </c>
      <c r="C222" s="8">
        <v>5</v>
      </c>
      <c r="D222" s="11" t="s">
        <v>36</v>
      </c>
      <c r="E222" s="12">
        <v>45.32</v>
      </c>
      <c r="F222" s="12">
        <v>226.6</v>
      </c>
      <c r="G222" s="8">
        <v>50</v>
      </c>
      <c r="H222" s="8">
        <v>75</v>
      </c>
      <c r="I222" s="8">
        <v>100</v>
      </c>
      <c r="J222" s="55">
        <f>1.36*0.085*0.002*5</f>
        <v>1.1560000000000001E-3</v>
      </c>
      <c r="K222" s="8">
        <v>7800</v>
      </c>
      <c r="L222" s="8" t="s">
        <v>140</v>
      </c>
      <c r="N222" s="8">
        <v>0.47</v>
      </c>
      <c r="O222" s="8">
        <v>1.46</v>
      </c>
      <c r="P222" s="8">
        <v>2.89</v>
      </c>
      <c r="R222" s="8">
        <f t="shared" si="70"/>
        <v>4.2378960000000001</v>
      </c>
      <c r="S222" s="8">
        <f t="shared" si="71"/>
        <v>13.164528000000001</v>
      </c>
      <c r="T222" s="8">
        <f t="shared" si="72"/>
        <v>26.058552000000002</v>
      </c>
      <c r="V222" s="13">
        <v>6</v>
      </c>
      <c r="W222" s="13">
        <v>29.36</v>
      </c>
      <c r="X222" s="13">
        <v>77</v>
      </c>
    </row>
    <row r="223" spans="1:24" ht="48" x14ac:dyDescent="0.2">
      <c r="A223" s="9" t="s">
        <v>17</v>
      </c>
      <c r="B223" s="10" t="s">
        <v>363</v>
      </c>
      <c r="C223" s="8">
        <v>2</v>
      </c>
      <c r="D223" s="11" t="s">
        <v>36</v>
      </c>
      <c r="E223" s="12">
        <v>58.17</v>
      </c>
      <c r="F223" s="12">
        <v>116.34</v>
      </c>
      <c r="G223" s="8">
        <v>50</v>
      </c>
      <c r="H223" s="8">
        <v>75</v>
      </c>
      <c r="I223" s="8">
        <v>100</v>
      </c>
      <c r="J223" s="55">
        <f>1.585*0.085*0.002*2</f>
        <v>5.3890000000000003E-4</v>
      </c>
      <c r="K223" s="8">
        <v>7800</v>
      </c>
      <c r="L223" s="8" t="s">
        <v>140</v>
      </c>
      <c r="N223" s="8">
        <v>0.47</v>
      </c>
      <c r="O223" s="8">
        <v>1.46</v>
      </c>
      <c r="P223" s="8">
        <v>2.89</v>
      </c>
      <c r="R223" s="8">
        <f t="shared" si="70"/>
        <v>1.9756074000000001</v>
      </c>
      <c r="S223" s="8">
        <f t="shared" si="71"/>
        <v>6.1369932</v>
      </c>
      <c r="T223" s="8">
        <f t="shared" si="72"/>
        <v>12.147883800000001</v>
      </c>
      <c r="V223" s="13">
        <v>6</v>
      </c>
      <c r="W223" s="13">
        <v>29.36</v>
      </c>
      <c r="X223" s="13">
        <v>77</v>
      </c>
    </row>
    <row r="224" spans="1:24" ht="48" x14ac:dyDescent="0.2">
      <c r="A224" s="9" t="s">
        <v>18</v>
      </c>
      <c r="B224" s="10" t="s">
        <v>364</v>
      </c>
      <c r="C224" s="8">
        <v>2</v>
      </c>
      <c r="D224" s="11" t="s">
        <v>36</v>
      </c>
      <c r="E224" s="12">
        <v>60.18</v>
      </c>
      <c r="F224" s="12">
        <v>120.36</v>
      </c>
      <c r="G224" s="8">
        <v>50</v>
      </c>
      <c r="H224" s="8">
        <v>75</v>
      </c>
      <c r="I224" s="8">
        <v>100</v>
      </c>
      <c r="J224" s="55">
        <f>1.698*0.107*0.002*2</f>
        <v>7.2674399999999998E-4</v>
      </c>
      <c r="K224" s="8">
        <v>7800</v>
      </c>
      <c r="L224" s="8" t="s">
        <v>141</v>
      </c>
      <c r="N224" s="8">
        <v>0.47</v>
      </c>
      <c r="O224" s="8">
        <v>1.46</v>
      </c>
      <c r="P224" s="8">
        <v>2.89</v>
      </c>
      <c r="R224" s="8">
        <f t="shared" si="70"/>
        <v>2.6642435039999999</v>
      </c>
      <c r="S224" s="8">
        <f t="shared" si="71"/>
        <v>8.2761606719999996</v>
      </c>
      <c r="T224" s="8">
        <f t="shared" si="72"/>
        <v>16.382263248000001</v>
      </c>
      <c r="V224" s="13">
        <v>6</v>
      </c>
      <c r="W224" s="13">
        <v>29.36</v>
      </c>
      <c r="X224" s="13">
        <v>77</v>
      </c>
    </row>
    <row r="225" spans="1:24" ht="48" x14ac:dyDescent="0.2">
      <c r="A225" s="9" t="s">
        <v>19</v>
      </c>
      <c r="B225" s="10" t="s">
        <v>365</v>
      </c>
      <c r="C225" s="8">
        <v>7</v>
      </c>
      <c r="D225" s="11" t="s">
        <v>36</v>
      </c>
      <c r="E225" s="12">
        <v>84.37</v>
      </c>
      <c r="F225" s="12">
        <v>590.59</v>
      </c>
      <c r="G225" s="8">
        <v>50</v>
      </c>
      <c r="H225" s="8">
        <v>75</v>
      </c>
      <c r="I225" s="8">
        <v>100</v>
      </c>
      <c r="J225" s="55">
        <f>1.81*0.107*0.002*7</f>
        <v>2.7113800000000002E-3</v>
      </c>
      <c r="K225" s="8">
        <v>7800</v>
      </c>
      <c r="L225" s="8" t="s">
        <v>141</v>
      </c>
      <c r="N225" s="8">
        <v>0.47</v>
      </c>
      <c r="O225" s="8">
        <v>1.46</v>
      </c>
      <c r="P225" s="8">
        <v>2.89</v>
      </c>
      <c r="R225" s="8">
        <f t="shared" si="70"/>
        <v>9.939919080000001</v>
      </c>
      <c r="S225" s="8">
        <f t="shared" si="71"/>
        <v>30.877195440000001</v>
      </c>
      <c r="T225" s="8">
        <f t="shared" si="72"/>
        <v>61.119927960000005</v>
      </c>
      <c r="V225" s="13">
        <v>6</v>
      </c>
      <c r="W225" s="13">
        <v>29.36</v>
      </c>
      <c r="X225" s="13">
        <v>77</v>
      </c>
    </row>
    <row r="226" spans="1:24" ht="48" x14ac:dyDescent="0.2">
      <c r="A226" s="9" t="s">
        <v>20</v>
      </c>
      <c r="B226" s="10" t="s">
        <v>366</v>
      </c>
      <c r="C226" s="8">
        <v>2</v>
      </c>
      <c r="D226" s="11" t="s">
        <v>36</v>
      </c>
      <c r="E226" s="12">
        <v>111.14</v>
      </c>
      <c r="F226" s="12">
        <v>222.28</v>
      </c>
      <c r="G226" s="8">
        <v>50</v>
      </c>
      <c r="H226" s="8">
        <v>75</v>
      </c>
      <c r="I226" s="8">
        <v>100</v>
      </c>
      <c r="J226" s="55">
        <f>2.373*0.15*0.002*2</f>
        <v>1.4238000000000002E-3</v>
      </c>
      <c r="K226" s="8">
        <v>7800</v>
      </c>
      <c r="L226" s="8" t="s">
        <v>143</v>
      </c>
      <c r="N226" s="8">
        <v>0.47</v>
      </c>
      <c r="O226" s="8">
        <v>1.46</v>
      </c>
      <c r="P226" s="8">
        <v>2.89</v>
      </c>
      <c r="R226" s="8">
        <f t="shared" si="70"/>
        <v>5.219650800000001</v>
      </c>
      <c r="S226" s="8">
        <f t="shared" si="71"/>
        <v>16.214234400000002</v>
      </c>
      <c r="T226" s="8">
        <f t="shared" si="72"/>
        <v>32.095299600000004</v>
      </c>
      <c r="V226" s="13">
        <v>6</v>
      </c>
      <c r="W226" s="13">
        <v>29.36</v>
      </c>
      <c r="X226" s="13">
        <v>77</v>
      </c>
    </row>
    <row r="227" spans="1:24" ht="64" x14ac:dyDescent="0.2">
      <c r="A227" s="9" t="s">
        <v>21</v>
      </c>
      <c r="B227" s="10" t="s">
        <v>367</v>
      </c>
      <c r="C227" s="8">
        <v>5</v>
      </c>
      <c r="D227" s="11" t="s">
        <v>36</v>
      </c>
      <c r="E227" s="12">
        <v>145.06</v>
      </c>
      <c r="F227" s="12">
        <v>725.3</v>
      </c>
      <c r="G227" s="8">
        <v>50</v>
      </c>
      <c r="H227" s="8">
        <v>75</v>
      </c>
      <c r="I227" s="8">
        <v>100</v>
      </c>
      <c r="J227" s="55">
        <f>2.485*0.162*0.0026*5</f>
        <v>5.23341E-3</v>
      </c>
      <c r="K227" s="8">
        <v>7800</v>
      </c>
      <c r="L227" s="8" t="s">
        <v>144</v>
      </c>
      <c r="N227" s="8">
        <v>0.47</v>
      </c>
      <c r="O227" s="8">
        <v>1.46</v>
      </c>
      <c r="P227" s="8">
        <v>2.89</v>
      </c>
      <c r="R227" s="8">
        <f t="shared" si="70"/>
        <v>19.18568106</v>
      </c>
      <c r="S227" s="8">
        <f t="shared" si="71"/>
        <v>59.598073079999999</v>
      </c>
      <c r="T227" s="8">
        <f t="shared" si="72"/>
        <v>117.97152822</v>
      </c>
      <c r="V227" s="13">
        <v>6</v>
      </c>
      <c r="W227" s="13">
        <v>29.36</v>
      </c>
      <c r="X227" s="13">
        <v>77</v>
      </c>
    </row>
    <row r="228" spans="1:24" ht="48" x14ac:dyDescent="0.2">
      <c r="A228" s="9" t="s">
        <v>22</v>
      </c>
      <c r="B228" s="10" t="s">
        <v>368</v>
      </c>
      <c r="C228" s="8">
        <v>1</v>
      </c>
      <c r="D228" s="11" t="s">
        <v>36</v>
      </c>
      <c r="E228" s="12">
        <v>150.06</v>
      </c>
      <c r="F228" s="12">
        <v>150.06</v>
      </c>
      <c r="G228" s="8">
        <v>50</v>
      </c>
      <c r="H228" s="8">
        <v>75</v>
      </c>
      <c r="I228" s="8">
        <v>100</v>
      </c>
      <c r="J228" s="55">
        <f>2.598*0.162*0.0026</f>
        <v>1.0942775999999998E-3</v>
      </c>
      <c r="K228" s="8">
        <v>7800</v>
      </c>
      <c r="L228" s="8" t="s">
        <v>144</v>
      </c>
      <c r="N228" s="8">
        <v>0.47</v>
      </c>
      <c r="O228" s="8">
        <v>1.46</v>
      </c>
      <c r="P228" s="8">
        <v>2.89</v>
      </c>
      <c r="R228" s="8">
        <f t="shared" si="70"/>
        <v>4.0116216815999994</v>
      </c>
      <c r="S228" s="8">
        <f t="shared" si="71"/>
        <v>12.461633308799998</v>
      </c>
      <c r="T228" s="8">
        <f t="shared" si="72"/>
        <v>24.667205659199997</v>
      </c>
      <c r="V228" s="13">
        <v>6</v>
      </c>
      <c r="W228" s="13">
        <v>29.36</v>
      </c>
      <c r="X228" s="13">
        <v>77</v>
      </c>
    </row>
    <row r="229" spans="1:24" ht="48" x14ac:dyDescent="0.2">
      <c r="A229" s="9" t="s">
        <v>6</v>
      </c>
      <c r="B229" s="10" t="s">
        <v>369</v>
      </c>
      <c r="C229" s="8">
        <v>1</v>
      </c>
      <c r="D229" s="11" t="s">
        <v>36</v>
      </c>
      <c r="E229" s="12">
        <v>150.06</v>
      </c>
      <c r="F229" s="12">
        <v>150.06</v>
      </c>
      <c r="G229" s="8">
        <v>50</v>
      </c>
      <c r="H229" s="8">
        <v>75</v>
      </c>
      <c r="I229" s="8">
        <v>100</v>
      </c>
      <c r="J229" s="55">
        <f>2.71*0.162*0.0026</f>
        <v>1.141452E-3</v>
      </c>
      <c r="K229" s="8">
        <v>7800</v>
      </c>
      <c r="L229" s="8" t="s">
        <v>144</v>
      </c>
      <c r="N229" s="8">
        <v>0.47</v>
      </c>
      <c r="O229" s="8">
        <v>1.46</v>
      </c>
      <c r="P229" s="8">
        <v>2.89</v>
      </c>
      <c r="R229" s="8">
        <f t="shared" si="70"/>
        <v>4.1845630319999998</v>
      </c>
      <c r="S229" s="8">
        <f t="shared" si="71"/>
        <v>12.998855376</v>
      </c>
      <c r="T229" s="8">
        <f t="shared" si="72"/>
        <v>25.730610984000002</v>
      </c>
      <c r="V229" s="13">
        <v>6</v>
      </c>
      <c r="W229" s="13">
        <v>29.36</v>
      </c>
      <c r="X229" s="13">
        <v>77</v>
      </c>
    </row>
    <row r="230" spans="1:24" ht="48" x14ac:dyDescent="0.2">
      <c r="A230" s="9" t="s">
        <v>9</v>
      </c>
      <c r="B230" s="10" t="s">
        <v>370</v>
      </c>
      <c r="C230" s="8">
        <v>6</v>
      </c>
      <c r="D230" s="11" t="s">
        <v>36</v>
      </c>
      <c r="E230" s="12">
        <v>155.47</v>
      </c>
      <c r="F230" s="12">
        <v>932.82</v>
      </c>
      <c r="G230" s="8">
        <v>50</v>
      </c>
      <c r="H230" s="8">
        <v>75</v>
      </c>
      <c r="I230" s="8">
        <v>100</v>
      </c>
      <c r="J230" s="55">
        <f>2.935*0.171*0.0026*6</f>
        <v>7.8294060000000006E-3</v>
      </c>
      <c r="K230" s="8">
        <v>7800</v>
      </c>
      <c r="L230" s="8" t="s">
        <v>145</v>
      </c>
      <c r="N230" s="8">
        <v>0.47</v>
      </c>
      <c r="O230" s="8">
        <v>1.46</v>
      </c>
      <c r="P230" s="8">
        <v>2.89</v>
      </c>
      <c r="R230" s="8">
        <f t="shared" si="70"/>
        <v>28.702602396000003</v>
      </c>
      <c r="S230" s="8">
        <f t="shared" si="71"/>
        <v>89.161275528000004</v>
      </c>
      <c r="T230" s="8">
        <f t="shared" si="72"/>
        <v>176.49047005200001</v>
      </c>
      <c r="V230" s="13">
        <v>6</v>
      </c>
      <c r="W230" s="13">
        <v>29.36</v>
      </c>
      <c r="X230" s="13">
        <v>77</v>
      </c>
    </row>
    <row r="231" spans="1:24" ht="48" x14ac:dyDescent="0.2">
      <c r="A231" s="9" t="s">
        <v>10</v>
      </c>
      <c r="B231" s="10" t="s">
        <v>371</v>
      </c>
      <c r="C231" s="8">
        <v>18</v>
      </c>
      <c r="D231" s="11" t="s">
        <v>34</v>
      </c>
      <c r="E231" s="12">
        <v>10.8</v>
      </c>
      <c r="F231" s="12">
        <v>194.4</v>
      </c>
      <c r="G231" s="8">
        <v>39</v>
      </c>
      <c r="H231" s="8">
        <v>56</v>
      </c>
      <c r="I231" s="8">
        <v>72</v>
      </c>
      <c r="J231" s="55">
        <f>18*0.125*0.125</f>
        <v>0.28125</v>
      </c>
      <c r="K231" s="8">
        <v>630</v>
      </c>
      <c r="N231" s="13">
        <v>0.59</v>
      </c>
      <c r="O231" s="13">
        <v>0.59</v>
      </c>
      <c r="P231" s="13">
        <v>0.59</v>
      </c>
      <c r="R231" s="8">
        <f t="shared" ref="R231:R237" si="73">N231*K231*J231</f>
        <v>104.54062499999999</v>
      </c>
      <c r="S231" s="8">
        <f t="shared" ref="S231:S237" si="74">O231*K231*J231</f>
        <v>104.54062499999999</v>
      </c>
      <c r="T231" s="8">
        <f t="shared" ref="T231:T237" si="75">P231*K231*J231</f>
        <v>104.54062499999999</v>
      </c>
      <c r="V231" s="13">
        <v>0.72</v>
      </c>
      <c r="W231" s="13">
        <v>7.4</v>
      </c>
      <c r="X231" s="13">
        <v>13</v>
      </c>
    </row>
    <row r="232" spans="1:24" ht="48" x14ac:dyDescent="0.2">
      <c r="A232" s="9" t="s">
        <v>11</v>
      </c>
      <c r="B232" s="10" t="s">
        <v>372</v>
      </c>
      <c r="C232" s="8">
        <v>26</v>
      </c>
      <c r="D232" s="11" t="s">
        <v>34</v>
      </c>
      <c r="E232" s="12">
        <v>5.45</v>
      </c>
      <c r="F232" s="12">
        <v>141.69999999999999</v>
      </c>
      <c r="G232" s="8">
        <v>39</v>
      </c>
      <c r="H232" s="8">
        <v>56</v>
      </c>
      <c r="I232" s="8">
        <v>72</v>
      </c>
      <c r="J232" s="55">
        <f>26*0.125*0.05</f>
        <v>0.16250000000000001</v>
      </c>
      <c r="K232" s="8">
        <v>630</v>
      </c>
      <c r="N232" s="13">
        <v>0.59</v>
      </c>
      <c r="O232" s="13">
        <v>0.59</v>
      </c>
      <c r="P232" s="13">
        <v>0.59</v>
      </c>
      <c r="R232" s="8">
        <f t="shared" si="73"/>
        <v>60.401249999999997</v>
      </c>
      <c r="S232" s="8">
        <f t="shared" si="74"/>
        <v>60.401249999999997</v>
      </c>
      <c r="T232" s="8">
        <f t="shared" si="75"/>
        <v>60.401249999999997</v>
      </c>
      <c r="V232" s="13">
        <v>0.72</v>
      </c>
      <c r="W232" s="13">
        <v>7.4</v>
      </c>
      <c r="X232" s="13">
        <v>13</v>
      </c>
    </row>
    <row r="233" spans="1:24" ht="48" x14ac:dyDescent="0.2">
      <c r="A233" s="9" t="s">
        <v>12</v>
      </c>
      <c r="B233" s="10" t="s">
        <v>373</v>
      </c>
      <c r="C233" s="8">
        <v>18</v>
      </c>
      <c r="D233" s="11" t="s">
        <v>34</v>
      </c>
      <c r="E233" s="12">
        <v>11.33</v>
      </c>
      <c r="F233" s="12">
        <v>203.94</v>
      </c>
      <c r="G233" s="8">
        <v>39</v>
      </c>
      <c r="H233" s="8">
        <v>56</v>
      </c>
      <c r="I233" s="8">
        <v>72</v>
      </c>
      <c r="J233" s="55">
        <f>18*0.15*0.15</f>
        <v>0.40499999999999997</v>
      </c>
      <c r="K233" s="8">
        <v>630</v>
      </c>
      <c r="N233" s="13">
        <v>0.59</v>
      </c>
      <c r="O233" s="13">
        <v>0.59</v>
      </c>
      <c r="P233" s="13">
        <v>0.59</v>
      </c>
      <c r="R233" s="8">
        <f t="shared" si="73"/>
        <v>150.53849999999997</v>
      </c>
      <c r="S233" s="8">
        <f t="shared" si="74"/>
        <v>150.53849999999997</v>
      </c>
      <c r="T233" s="8">
        <f t="shared" si="75"/>
        <v>150.53849999999997</v>
      </c>
      <c r="V233" s="13">
        <v>0.72</v>
      </c>
      <c r="W233" s="13">
        <v>7.4</v>
      </c>
      <c r="X233" s="13">
        <v>13</v>
      </c>
    </row>
    <row r="234" spans="1:24" ht="48" x14ac:dyDescent="0.2">
      <c r="A234" s="9" t="s">
        <v>13</v>
      </c>
      <c r="B234" s="10" t="s">
        <v>374</v>
      </c>
      <c r="C234" s="8">
        <v>40</v>
      </c>
      <c r="D234" s="11" t="s">
        <v>34</v>
      </c>
      <c r="E234" s="12">
        <v>37.5</v>
      </c>
      <c r="F234" s="12">
        <v>1500</v>
      </c>
      <c r="G234" s="8">
        <v>39</v>
      </c>
      <c r="H234" s="8">
        <v>56</v>
      </c>
      <c r="I234" s="8">
        <v>72</v>
      </c>
      <c r="J234" s="55">
        <f>40*0.3*0.2</f>
        <v>2.4000000000000004</v>
      </c>
      <c r="K234" s="8">
        <v>630</v>
      </c>
      <c r="N234" s="13">
        <v>0.59</v>
      </c>
      <c r="O234" s="13">
        <v>0.59</v>
      </c>
      <c r="P234" s="13">
        <v>0.59</v>
      </c>
      <c r="R234" s="8">
        <f t="shared" si="73"/>
        <v>892.08000000000015</v>
      </c>
      <c r="S234" s="8">
        <f t="shared" si="74"/>
        <v>892.08000000000015</v>
      </c>
      <c r="T234" s="8">
        <f t="shared" si="75"/>
        <v>892.08000000000015</v>
      </c>
      <c r="V234" s="13">
        <v>0.72</v>
      </c>
      <c r="W234" s="13">
        <v>7.4</v>
      </c>
      <c r="X234" s="13">
        <v>13</v>
      </c>
    </row>
    <row r="235" spans="1:24" ht="64" x14ac:dyDescent="0.2">
      <c r="A235" s="9" t="s">
        <v>14</v>
      </c>
      <c r="B235" s="10" t="s">
        <v>375</v>
      </c>
      <c r="C235" s="8">
        <v>20</v>
      </c>
      <c r="D235" s="11" t="s">
        <v>34</v>
      </c>
      <c r="E235" s="12">
        <v>19.350000000000001</v>
      </c>
      <c r="F235" s="12">
        <v>387</v>
      </c>
      <c r="G235" s="8">
        <v>39</v>
      </c>
      <c r="H235" s="8">
        <v>56</v>
      </c>
      <c r="I235" s="8">
        <v>72</v>
      </c>
      <c r="J235" s="55">
        <f>20*0.2*0.15</f>
        <v>0.6</v>
      </c>
      <c r="K235" s="8">
        <v>630</v>
      </c>
      <c r="N235" s="13">
        <v>0.59</v>
      </c>
      <c r="O235" s="13">
        <v>0.59</v>
      </c>
      <c r="P235" s="13">
        <v>0.59</v>
      </c>
      <c r="R235" s="8">
        <f t="shared" si="73"/>
        <v>223.01999999999998</v>
      </c>
      <c r="S235" s="8">
        <f t="shared" si="74"/>
        <v>223.01999999999998</v>
      </c>
      <c r="T235" s="8">
        <f t="shared" si="75"/>
        <v>223.01999999999998</v>
      </c>
      <c r="V235" s="13">
        <v>0.72</v>
      </c>
      <c r="W235" s="13">
        <v>7.4</v>
      </c>
      <c r="X235" s="13">
        <v>13</v>
      </c>
    </row>
    <row r="236" spans="1:24" ht="80" x14ac:dyDescent="0.2">
      <c r="A236" s="9" t="s">
        <v>15</v>
      </c>
      <c r="B236" s="10" t="s">
        <v>376</v>
      </c>
      <c r="C236" s="8">
        <v>3</v>
      </c>
      <c r="D236" s="11" t="s">
        <v>34</v>
      </c>
      <c r="E236" s="12">
        <v>33.35</v>
      </c>
      <c r="F236" s="12">
        <v>100.05</v>
      </c>
      <c r="G236" s="8">
        <v>39</v>
      </c>
      <c r="H236" s="8">
        <v>56</v>
      </c>
      <c r="I236" s="8">
        <v>72</v>
      </c>
      <c r="J236" s="55">
        <f>3*0.2*0.15</f>
        <v>9.0000000000000011E-2</v>
      </c>
      <c r="K236" s="8">
        <v>630</v>
      </c>
      <c r="N236" s="13">
        <v>0.59</v>
      </c>
      <c r="O236" s="13">
        <v>0.59</v>
      </c>
      <c r="P236" s="13">
        <v>0.59</v>
      </c>
      <c r="R236" s="8">
        <f t="shared" si="73"/>
        <v>33.453000000000003</v>
      </c>
      <c r="S236" s="8">
        <f t="shared" si="74"/>
        <v>33.453000000000003</v>
      </c>
      <c r="T236" s="8">
        <f t="shared" si="75"/>
        <v>33.453000000000003</v>
      </c>
      <c r="V236" s="13">
        <v>0.72</v>
      </c>
      <c r="W236" s="13">
        <v>7.4</v>
      </c>
      <c r="X236" s="13">
        <v>13</v>
      </c>
    </row>
    <row r="237" spans="1:24" ht="48" x14ac:dyDescent="0.2">
      <c r="A237" s="9" t="s">
        <v>16</v>
      </c>
      <c r="B237" s="10" t="s">
        <v>377</v>
      </c>
      <c r="C237" s="8">
        <v>73</v>
      </c>
      <c r="D237" s="11" t="s">
        <v>34</v>
      </c>
      <c r="E237" s="12">
        <v>4.17</v>
      </c>
      <c r="F237" s="12">
        <v>304.41000000000003</v>
      </c>
      <c r="G237" s="8">
        <v>39</v>
      </c>
      <c r="H237" s="8">
        <v>56</v>
      </c>
      <c r="I237" s="8">
        <v>72</v>
      </c>
      <c r="J237" s="55">
        <f>73*0.05*0.1</f>
        <v>0.36500000000000005</v>
      </c>
      <c r="K237" s="8">
        <v>630</v>
      </c>
      <c r="N237" s="13">
        <v>0.59</v>
      </c>
      <c r="O237" s="13">
        <v>0.59</v>
      </c>
      <c r="P237" s="13">
        <v>0.59</v>
      </c>
      <c r="R237" s="8">
        <f t="shared" si="73"/>
        <v>135.6705</v>
      </c>
      <c r="S237" s="8">
        <f t="shared" si="74"/>
        <v>135.6705</v>
      </c>
      <c r="T237" s="8">
        <f t="shared" si="75"/>
        <v>135.6705</v>
      </c>
      <c r="V237" s="13">
        <v>0.72</v>
      </c>
      <c r="W237" s="13">
        <v>7.4</v>
      </c>
      <c r="X237" s="13">
        <v>13</v>
      </c>
    </row>
    <row r="238" spans="1:24" ht="64" x14ac:dyDescent="0.2">
      <c r="A238" s="9" t="s">
        <v>17</v>
      </c>
      <c r="B238" s="10" t="s">
        <v>378</v>
      </c>
      <c r="C238" s="8">
        <v>8</v>
      </c>
      <c r="D238" s="11" t="s">
        <v>36</v>
      </c>
      <c r="E238" s="12">
        <v>87.5</v>
      </c>
      <c r="F238" s="12">
        <v>700</v>
      </c>
      <c r="V238" s="13"/>
      <c r="W238" s="13"/>
      <c r="X238" s="13"/>
    </row>
    <row r="239" spans="1:24" ht="64" x14ac:dyDescent="0.2">
      <c r="A239" s="9" t="s">
        <v>18</v>
      </c>
      <c r="B239" s="10" t="s">
        <v>379</v>
      </c>
      <c r="C239" s="8">
        <v>8</v>
      </c>
      <c r="D239" s="11" t="s">
        <v>36</v>
      </c>
      <c r="E239" s="12">
        <v>87.5</v>
      </c>
      <c r="F239" s="12">
        <v>700</v>
      </c>
      <c r="V239" s="13"/>
      <c r="W239" s="13"/>
      <c r="X239" s="13"/>
    </row>
    <row r="240" spans="1:24" ht="32" x14ac:dyDescent="0.2">
      <c r="A240" s="9" t="s">
        <v>19</v>
      </c>
      <c r="B240" s="10" t="s">
        <v>380</v>
      </c>
      <c r="C240" s="8">
        <v>44</v>
      </c>
      <c r="D240" s="11" t="s">
        <v>36</v>
      </c>
      <c r="E240" s="12">
        <v>2.27</v>
      </c>
      <c r="F240" s="12">
        <v>99.88</v>
      </c>
      <c r="V240" s="13"/>
      <c r="W240" s="13"/>
      <c r="X240" s="13"/>
    </row>
    <row r="241" spans="1:24" ht="96" x14ac:dyDescent="0.2">
      <c r="A241" s="9" t="s">
        <v>6</v>
      </c>
      <c r="B241" s="10" t="s">
        <v>381</v>
      </c>
      <c r="C241" s="8">
        <v>13</v>
      </c>
      <c r="D241" s="11" t="s">
        <v>35</v>
      </c>
      <c r="E241" s="12">
        <v>280.32</v>
      </c>
      <c r="F241" s="12">
        <v>3644.16</v>
      </c>
      <c r="G241" s="8">
        <v>24</v>
      </c>
      <c r="H241" s="8">
        <v>38</v>
      </c>
      <c r="I241" s="8">
        <v>49</v>
      </c>
      <c r="J241" s="55">
        <f>13*0.02</f>
        <v>0.26</v>
      </c>
      <c r="K241" s="8">
        <v>350</v>
      </c>
      <c r="N241" s="8">
        <v>1.0900000000000001</v>
      </c>
      <c r="O241" s="8">
        <v>1.0900000000000001</v>
      </c>
      <c r="P241" s="8">
        <v>1.0900000000000001</v>
      </c>
      <c r="R241" s="8">
        <f>N241*K241*J241</f>
        <v>99.19</v>
      </c>
      <c r="S241" s="8">
        <f>O241*K241*J241</f>
        <v>99.19</v>
      </c>
      <c r="T241" s="8">
        <f>P241*K241*J241</f>
        <v>99.19</v>
      </c>
      <c r="V241" s="13">
        <v>7.28</v>
      </c>
      <c r="W241" s="13">
        <v>10.4</v>
      </c>
      <c r="X241" s="13">
        <v>13.52</v>
      </c>
    </row>
    <row r="242" spans="1:24" ht="64" x14ac:dyDescent="0.2">
      <c r="A242" s="9" t="s">
        <v>9</v>
      </c>
      <c r="B242" s="10" t="s">
        <v>382</v>
      </c>
      <c r="C242" s="8">
        <v>26</v>
      </c>
      <c r="D242" s="11" t="s">
        <v>34</v>
      </c>
      <c r="E242" s="12">
        <v>31.9</v>
      </c>
      <c r="F242" s="12">
        <v>829.4</v>
      </c>
      <c r="G242" s="8">
        <v>24</v>
      </c>
      <c r="H242" s="8">
        <v>38</v>
      </c>
      <c r="I242" s="8">
        <v>49</v>
      </c>
      <c r="J242" s="55">
        <f>0.3*0.008*26</f>
        <v>6.2399999999999997E-2</v>
      </c>
      <c r="K242" s="8">
        <v>350</v>
      </c>
      <c r="N242" s="8">
        <v>1.0900000000000001</v>
      </c>
      <c r="O242" s="8">
        <v>1.0900000000000001</v>
      </c>
      <c r="P242" s="8">
        <v>1.0900000000000001</v>
      </c>
      <c r="R242" s="8">
        <f>N242*K242*J242</f>
        <v>23.805599999999998</v>
      </c>
      <c r="S242" s="8">
        <f>O242*K242*J242</f>
        <v>23.805599999999998</v>
      </c>
      <c r="T242" s="8">
        <f>P242*K242*J242</f>
        <v>23.805599999999998</v>
      </c>
      <c r="V242" s="13">
        <v>7.28</v>
      </c>
      <c r="W242" s="13">
        <v>10.4</v>
      </c>
      <c r="X242" s="13">
        <v>13.52</v>
      </c>
    </row>
    <row r="243" spans="1:24" ht="48" x14ac:dyDescent="0.2">
      <c r="A243" s="9" t="s">
        <v>10</v>
      </c>
      <c r="B243" s="10" t="s">
        <v>383</v>
      </c>
      <c r="C243" s="8">
        <v>5</v>
      </c>
      <c r="D243" s="11" t="s">
        <v>34</v>
      </c>
      <c r="E243" s="12">
        <v>31.9</v>
      </c>
      <c r="F243" s="12">
        <v>159.5</v>
      </c>
      <c r="G243" s="8">
        <v>24</v>
      </c>
      <c r="H243" s="8">
        <v>38</v>
      </c>
      <c r="I243" s="8">
        <v>49</v>
      </c>
      <c r="V243" s="13"/>
      <c r="W243" s="13"/>
      <c r="X243" s="13"/>
    </row>
    <row r="244" spans="1:24" ht="32" x14ac:dyDescent="0.2">
      <c r="A244" s="9" t="s">
        <v>11</v>
      </c>
      <c r="B244" s="10" t="s">
        <v>384</v>
      </c>
      <c r="C244" s="8">
        <v>1</v>
      </c>
      <c r="D244" s="11" t="s">
        <v>7</v>
      </c>
      <c r="E244" s="12">
        <v>1000</v>
      </c>
      <c r="F244" s="12">
        <v>1000</v>
      </c>
      <c r="G244" s="8">
        <v>24</v>
      </c>
      <c r="H244" s="8">
        <v>38</v>
      </c>
      <c r="I244" s="8">
        <v>49</v>
      </c>
      <c r="V244" s="13"/>
      <c r="W244" s="13"/>
      <c r="X244" s="13"/>
    </row>
    <row r="245" spans="1:24" ht="96" x14ac:dyDescent="0.2">
      <c r="A245" s="9" t="s">
        <v>12</v>
      </c>
      <c r="B245" s="10" t="s">
        <v>385</v>
      </c>
      <c r="C245" s="8">
        <v>2</v>
      </c>
      <c r="D245" s="11" t="s">
        <v>36</v>
      </c>
      <c r="E245" s="12">
        <v>800</v>
      </c>
      <c r="F245" s="12">
        <v>1600</v>
      </c>
      <c r="G245" s="8">
        <v>24</v>
      </c>
      <c r="H245" s="8">
        <v>37</v>
      </c>
      <c r="I245" s="8">
        <v>48</v>
      </c>
      <c r="V245" s="13"/>
      <c r="W245" s="13"/>
      <c r="X245" s="13"/>
    </row>
    <row r="246" spans="1:24" ht="96" x14ac:dyDescent="0.2">
      <c r="A246" s="9" t="s">
        <v>13</v>
      </c>
      <c r="B246" s="10" t="s">
        <v>386</v>
      </c>
      <c r="C246" s="8">
        <v>1</v>
      </c>
      <c r="D246" s="11" t="s">
        <v>36</v>
      </c>
      <c r="E246" s="12">
        <v>609.95000000000005</v>
      </c>
      <c r="F246" s="12">
        <v>609.95000000000005</v>
      </c>
      <c r="G246" s="8">
        <v>24</v>
      </c>
      <c r="H246" s="8">
        <v>37</v>
      </c>
      <c r="I246" s="8">
        <v>48</v>
      </c>
      <c r="V246" s="13"/>
      <c r="W246" s="13"/>
      <c r="X246" s="13"/>
    </row>
    <row r="247" spans="1:24" ht="96" x14ac:dyDescent="0.2">
      <c r="A247" s="9" t="s">
        <v>14</v>
      </c>
      <c r="B247" s="10" t="s">
        <v>387</v>
      </c>
      <c r="C247" s="8">
        <v>2</v>
      </c>
      <c r="D247" s="11" t="s">
        <v>36</v>
      </c>
      <c r="E247" s="12">
        <v>609.95000000000005</v>
      </c>
      <c r="F247" s="12">
        <v>1219.9000000000001</v>
      </c>
      <c r="G247" s="8">
        <v>24</v>
      </c>
      <c r="H247" s="8">
        <v>37</v>
      </c>
      <c r="I247" s="8">
        <v>48</v>
      </c>
      <c r="V247" s="13"/>
      <c r="W247" s="13"/>
      <c r="X247" s="13"/>
    </row>
    <row r="248" spans="1:24" ht="96" x14ac:dyDescent="0.2">
      <c r="A248" s="9" t="s">
        <v>15</v>
      </c>
      <c r="B248" s="10" t="s">
        <v>388</v>
      </c>
      <c r="C248" s="8">
        <v>1</v>
      </c>
      <c r="D248" s="11" t="s">
        <v>36</v>
      </c>
      <c r="E248" s="12">
        <v>609.95000000000005</v>
      </c>
      <c r="F248" s="12">
        <v>609.95000000000005</v>
      </c>
      <c r="G248" s="8">
        <v>24</v>
      </c>
      <c r="H248" s="8">
        <v>37</v>
      </c>
      <c r="I248" s="8">
        <v>48</v>
      </c>
      <c r="V248" s="13"/>
      <c r="W248" s="13"/>
      <c r="X248" s="13"/>
    </row>
    <row r="249" spans="1:24" ht="32" x14ac:dyDescent="0.2">
      <c r="A249" s="9" t="s">
        <v>6</v>
      </c>
      <c r="B249" s="10" t="s">
        <v>389</v>
      </c>
      <c r="C249" s="8">
        <v>109</v>
      </c>
      <c r="D249" s="11" t="s">
        <v>35</v>
      </c>
      <c r="E249" s="12">
        <v>65.989999999999995</v>
      </c>
      <c r="F249" s="12">
        <v>7192.91</v>
      </c>
      <c r="G249" s="8">
        <v>17</v>
      </c>
      <c r="H249" s="8">
        <v>29</v>
      </c>
      <c r="I249" s="8">
        <v>42</v>
      </c>
      <c r="J249" s="55">
        <f>C249*0.008</f>
        <v>0.872</v>
      </c>
      <c r="K249" s="8">
        <v>1300</v>
      </c>
      <c r="L249" s="1" t="s">
        <v>928</v>
      </c>
      <c r="N249" s="8">
        <v>1.0900000000000001</v>
      </c>
      <c r="O249" s="8">
        <v>1.0900000000000001</v>
      </c>
      <c r="P249" s="8">
        <v>1.0900000000000001</v>
      </c>
      <c r="R249" s="8">
        <f>N249*K249*J249</f>
        <v>1235.624</v>
      </c>
      <c r="S249" s="8">
        <f>O249*K249*J249</f>
        <v>1235.624</v>
      </c>
      <c r="T249" s="8">
        <f>P249*K249*J249</f>
        <v>1235.624</v>
      </c>
      <c r="V249" s="13">
        <v>7.28</v>
      </c>
      <c r="W249" s="13">
        <v>10.4</v>
      </c>
      <c r="X249" s="13">
        <v>13.52</v>
      </c>
    </row>
    <row r="250" spans="1:24" ht="32" x14ac:dyDescent="0.2">
      <c r="A250" s="9" t="s">
        <v>9</v>
      </c>
      <c r="B250" s="10" t="s">
        <v>390</v>
      </c>
      <c r="C250" s="8">
        <v>32</v>
      </c>
      <c r="D250" s="11" t="s">
        <v>34</v>
      </c>
      <c r="E250" s="12">
        <v>34.299999999999997</v>
      </c>
      <c r="F250" s="12">
        <v>1097.5999999999999</v>
      </c>
      <c r="G250" s="8">
        <v>17</v>
      </c>
      <c r="H250" s="8">
        <v>29</v>
      </c>
      <c r="I250" s="8">
        <v>42</v>
      </c>
      <c r="J250" s="55">
        <f>C250*0.008</f>
        <v>0.25600000000000001</v>
      </c>
      <c r="K250" s="8">
        <v>1300</v>
      </c>
      <c r="N250" s="8">
        <v>1.0900000000000001</v>
      </c>
      <c r="O250" s="8">
        <v>1.0900000000000001</v>
      </c>
      <c r="P250" s="8">
        <v>1.0900000000000001</v>
      </c>
      <c r="R250" s="8">
        <f t="shared" ref="R250:R252" si="76">N250*K250*J250</f>
        <v>362.75200000000001</v>
      </c>
      <c r="S250" s="8">
        <f t="shared" ref="S250:S252" si="77">O250*K250*J250</f>
        <v>362.75200000000001</v>
      </c>
      <c r="T250" s="8">
        <f t="shared" ref="T250:T252" si="78">P250*K250*J250</f>
        <v>362.75200000000001</v>
      </c>
      <c r="V250" s="13">
        <v>7.28</v>
      </c>
      <c r="W250" s="13">
        <v>10.4</v>
      </c>
      <c r="X250" s="13">
        <v>13.52</v>
      </c>
    </row>
    <row r="251" spans="1:24" ht="48" x14ac:dyDescent="0.2">
      <c r="A251" s="9" t="s">
        <v>10</v>
      </c>
      <c r="B251" s="10" t="s">
        <v>391</v>
      </c>
      <c r="C251" s="8">
        <v>9</v>
      </c>
      <c r="D251" s="11" t="s">
        <v>35</v>
      </c>
      <c r="E251" s="12">
        <v>78.66</v>
      </c>
      <c r="F251" s="12">
        <v>707.94</v>
      </c>
      <c r="G251" s="8">
        <v>17</v>
      </c>
      <c r="H251" s="8">
        <v>29</v>
      </c>
      <c r="I251" s="8">
        <v>42</v>
      </c>
      <c r="J251" s="55">
        <f>9*0.008</f>
        <v>7.2000000000000008E-2</v>
      </c>
      <c r="K251" s="8">
        <v>1300</v>
      </c>
      <c r="N251" s="8">
        <v>1.0900000000000001</v>
      </c>
      <c r="O251" s="8">
        <v>1.0900000000000001</v>
      </c>
      <c r="P251" s="8">
        <v>1.0900000000000001</v>
      </c>
      <c r="R251" s="8">
        <f t="shared" si="76"/>
        <v>102.02400000000002</v>
      </c>
      <c r="S251" s="8">
        <f t="shared" si="77"/>
        <v>102.02400000000002</v>
      </c>
      <c r="T251" s="8">
        <f t="shared" si="78"/>
        <v>102.02400000000002</v>
      </c>
      <c r="V251" s="13">
        <v>7.28</v>
      </c>
      <c r="W251" s="13">
        <v>10.4</v>
      </c>
      <c r="X251" s="13">
        <v>13.52</v>
      </c>
    </row>
    <row r="252" spans="1:24" ht="32" x14ac:dyDescent="0.2">
      <c r="A252" s="9" t="s">
        <v>11</v>
      </c>
      <c r="B252" s="10" t="s">
        <v>392</v>
      </c>
      <c r="C252" s="8">
        <v>22</v>
      </c>
      <c r="D252" s="11" t="s">
        <v>34</v>
      </c>
      <c r="E252" s="12">
        <v>17.09</v>
      </c>
      <c r="F252" s="12">
        <v>375.98</v>
      </c>
      <c r="G252" s="8">
        <v>17</v>
      </c>
      <c r="H252" s="8">
        <v>29</v>
      </c>
      <c r="I252" s="8">
        <v>42</v>
      </c>
      <c r="J252" s="55">
        <f>0.3*0.008*22</f>
        <v>5.2799999999999993E-2</v>
      </c>
      <c r="K252" s="8">
        <v>1300</v>
      </c>
      <c r="N252" s="8">
        <v>1.0900000000000001</v>
      </c>
      <c r="O252" s="8">
        <v>1.0900000000000001</v>
      </c>
      <c r="P252" s="8">
        <v>1.0900000000000001</v>
      </c>
      <c r="R252" s="8">
        <f t="shared" si="76"/>
        <v>74.817599999999985</v>
      </c>
      <c r="S252" s="8">
        <f t="shared" si="77"/>
        <v>74.817599999999985</v>
      </c>
      <c r="T252" s="8">
        <f t="shared" si="78"/>
        <v>74.817599999999985</v>
      </c>
      <c r="V252" s="13">
        <v>7.28</v>
      </c>
      <c r="W252" s="13">
        <v>10.4</v>
      </c>
      <c r="X252" s="13">
        <v>13.52</v>
      </c>
    </row>
    <row r="253" spans="1:24" ht="32" x14ac:dyDescent="0.2">
      <c r="A253" s="9" t="s">
        <v>12</v>
      </c>
      <c r="B253" s="10" t="s">
        <v>393</v>
      </c>
      <c r="C253" s="8">
        <v>59</v>
      </c>
      <c r="D253" s="11" t="s">
        <v>34</v>
      </c>
      <c r="E253" s="12">
        <v>13.59</v>
      </c>
      <c r="F253" s="12">
        <v>801.81</v>
      </c>
      <c r="G253" s="8">
        <v>17</v>
      </c>
      <c r="H253" s="8">
        <v>29</v>
      </c>
      <c r="I253" s="8">
        <v>42</v>
      </c>
      <c r="V253" s="13"/>
      <c r="W253" s="13"/>
      <c r="X253" s="13"/>
    </row>
    <row r="254" spans="1:24" ht="32" x14ac:dyDescent="0.2">
      <c r="A254" s="9" t="s">
        <v>13</v>
      </c>
      <c r="B254" s="10" t="s">
        <v>394</v>
      </c>
      <c r="C254" s="8">
        <v>48</v>
      </c>
      <c r="D254" s="11" t="s">
        <v>34</v>
      </c>
      <c r="E254" s="12">
        <v>13.59</v>
      </c>
      <c r="F254" s="12">
        <v>652.32000000000005</v>
      </c>
      <c r="G254" s="8">
        <v>17</v>
      </c>
      <c r="H254" s="8">
        <v>29</v>
      </c>
      <c r="I254" s="8">
        <v>42</v>
      </c>
      <c r="V254" s="13"/>
      <c r="W254" s="13"/>
      <c r="X254" s="13"/>
    </row>
    <row r="255" spans="1:24" ht="16" x14ac:dyDescent="0.2">
      <c r="A255" s="9" t="s">
        <v>14</v>
      </c>
      <c r="B255" s="10" t="s">
        <v>396</v>
      </c>
      <c r="C255" s="8">
        <v>1</v>
      </c>
      <c r="D255" s="11" t="s">
        <v>7</v>
      </c>
      <c r="E255" s="12">
        <v>100</v>
      </c>
      <c r="F255" s="12">
        <v>100</v>
      </c>
      <c r="G255" s="8">
        <v>17</v>
      </c>
      <c r="H255" s="8">
        <v>29</v>
      </c>
      <c r="I255" s="8">
        <v>42</v>
      </c>
      <c r="V255" s="13"/>
      <c r="W255" s="13"/>
      <c r="X255" s="13"/>
    </row>
    <row r="256" spans="1:24" ht="32" x14ac:dyDescent="0.2">
      <c r="A256" s="9" t="s">
        <v>15</v>
      </c>
      <c r="B256" s="10" t="s">
        <v>395</v>
      </c>
      <c r="C256" s="8">
        <v>20</v>
      </c>
      <c r="D256" s="11" t="s">
        <v>34</v>
      </c>
      <c r="E256" s="12">
        <v>4</v>
      </c>
      <c r="F256" s="12">
        <v>80</v>
      </c>
      <c r="G256" s="8">
        <v>17</v>
      </c>
      <c r="H256" s="8">
        <v>29</v>
      </c>
      <c r="I256" s="8">
        <v>42</v>
      </c>
      <c r="V256" s="13"/>
      <c r="W256" s="13"/>
      <c r="X256" s="13"/>
    </row>
    <row r="257" spans="1:24" ht="64" x14ac:dyDescent="0.2">
      <c r="A257" s="9" t="s">
        <v>16</v>
      </c>
      <c r="B257" s="10" t="s">
        <v>397</v>
      </c>
      <c r="C257" s="8">
        <v>21</v>
      </c>
      <c r="D257" s="11" t="s">
        <v>35</v>
      </c>
      <c r="E257" s="12">
        <v>65.790000000000006</v>
      </c>
      <c r="F257" s="12">
        <v>1381.59</v>
      </c>
      <c r="G257" s="8">
        <v>17</v>
      </c>
      <c r="H257" s="8">
        <v>29</v>
      </c>
      <c r="I257" s="8">
        <v>42</v>
      </c>
      <c r="J257" s="55">
        <f>C257*0.019</f>
        <v>0.39899999999999997</v>
      </c>
      <c r="K257" s="8">
        <v>480</v>
      </c>
      <c r="N257" s="8">
        <v>0.72</v>
      </c>
      <c r="O257" s="8">
        <v>0.72</v>
      </c>
      <c r="P257" s="8">
        <v>0.72</v>
      </c>
      <c r="R257" s="8">
        <f>N257*K257*J257</f>
        <v>137.89439999999996</v>
      </c>
      <c r="S257" s="8">
        <f>O257*K257*J257</f>
        <v>137.89439999999996</v>
      </c>
      <c r="T257" s="8">
        <f>P257*K257*J257</f>
        <v>137.89439999999996</v>
      </c>
      <c r="V257" s="13">
        <v>0.72</v>
      </c>
      <c r="W257" s="13">
        <v>7.11</v>
      </c>
      <c r="X257" s="13">
        <v>21.3</v>
      </c>
    </row>
    <row r="258" spans="1:24" ht="48" x14ac:dyDescent="0.2">
      <c r="A258" s="9" t="s">
        <v>17</v>
      </c>
      <c r="B258" s="10" t="s">
        <v>398</v>
      </c>
      <c r="C258" s="8">
        <v>13</v>
      </c>
      <c r="D258" s="11" t="s">
        <v>34</v>
      </c>
      <c r="E258" s="12">
        <v>20.3</v>
      </c>
      <c r="F258" s="12">
        <v>263.89999999999998</v>
      </c>
      <c r="G258" s="8">
        <v>17</v>
      </c>
      <c r="H258" s="8">
        <v>29</v>
      </c>
      <c r="I258" s="8">
        <v>42</v>
      </c>
      <c r="J258" s="55">
        <f>0.3*0.008*13</f>
        <v>3.1199999999999999E-2</v>
      </c>
      <c r="K258" s="8">
        <v>480</v>
      </c>
      <c r="N258" s="8">
        <v>0.72</v>
      </c>
      <c r="O258" s="8">
        <v>0.72</v>
      </c>
      <c r="P258" s="8">
        <v>0.72</v>
      </c>
      <c r="R258" s="8">
        <f>N258*K258*J258</f>
        <v>10.782719999999998</v>
      </c>
      <c r="S258" s="8">
        <f>O258*K258*J258</f>
        <v>10.782719999999998</v>
      </c>
      <c r="T258" s="8">
        <f>P258*K258*J258</f>
        <v>10.782719999999998</v>
      </c>
      <c r="V258" s="13">
        <v>0.72</v>
      </c>
      <c r="W258" s="13">
        <v>7.11</v>
      </c>
      <c r="X258" s="13">
        <v>21.3</v>
      </c>
    </row>
    <row r="259" spans="1:24" ht="32" x14ac:dyDescent="0.2">
      <c r="A259" s="9" t="s">
        <v>18</v>
      </c>
      <c r="B259" s="10" t="s">
        <v>399</v>
      </c>
      <c r="C259" s="8">
        <v>8</v>
      </c>
      <c r="D259" s="11" t="s">
        <v>34</v>
      </c>
      <c r="E259" s="12">
        <v>7.84</v>
      </c>
      <c r="F259" s="12">
        <v>62.72</v>
      </c>
      <c r="G259" s="8">
        <v>17</v>
      </c>
      <c r="H259" s="8">
        <v>29</v>
      </c>
      <c r="I259" s="8">
        <v>42</v>
      </c>
      <c r="V259" s="13"/>
      <c r="W259" s="13"/>
      <c r="X259" s="13"/>
    </row>
    <row r="260" spans="1:24" ht="32" x14ac:dyDescent="0.2">
      <c r="A260" s="9" t="s">
        <v>19</v>
      </c>
      <c r="B260" s="10" t="s">
        <v>400</v>
      </c>
      <c r="C260" s="8">
        <v>6</v>
      </c>
      <c r="D260" s="11" t="s">
        <v>34</v>
      </c>
      <c r="E260" s="12">
        <v>4.84</v>
      </c>
      <c r="F260" s="12">
        <v>29.04</v>
      </c>
      <c r="G260" s="8">
        <v>17</v>
      </c>
      <c r="H260" s="8">
        <v>29</v>
      </c>
      <c r="I260" s="8">
        <v>42</v>
      </c>
      <c r="V260" s="13"/>
      <c r="W260" s="13"/>
      <c r="X260" s="13"/>
    </row>
    <row r="261" spans="1:24" ht="64" x14ac:dyDescent="0.2">
      <c r="A261" s="9" t="s">
        <v>20</v>
      </c>
      <c r="B261" s="10" t="s">
        <v>401</v>
      </c>
      <c r="C261" s="8">
        <v>44</v>
      </c>
      <c r="D261" s="11" t="s">
        <v>35</v>
      </c>
      <c r="E261" s="12">
        <v>65.790000000000006</v>
      </c>
      <c r="F261" s="12">
        <v>2894.76</v>
      </c>
      <c r="G261" s="8">
        <v>17</v>
      </c>
      <c r="H261" s="8">
        <v>29</v>
      </c>
      <c r="I261" s="8">
        <v>42</v>
      </c>
      <c r="J261" s="55">
        <f>C261*0.019</f>
        <v>0.83599999999999997</v>
      </c>
      <c r="K261" s="8">
        <v>480</v>
      </c>
      <c r="N261" s="8">
        <v>0.72</v>
      </c>
      <c r="O261" s="8">
        <v>0.72</v>
      </c>
      <c r="P261" s="8">
        <v>0.72</v>
      </c>
      <c r="R261" s="8">
        <f t="shared" ref="R261:R264" si="79">N261*K261*J261</f>
        <v>288.92159999999996</v>
      </c>
      <c r="S261" s="8">
        <f t="shared" ref="S261:S264" si="80">O261*K261*J261</f>
        <v>288.92159999999996</v>
      </c>
      <c r="T261" s="8">
        <f t="shared" ref="T261:T264" si="81">P261*K261*J261</f>
        <v>288.92159999999996</v>
      </c>
      <c r="V261" s="13">
        <v>0.72</v>
      </c>
      <c r="W261" s="13">
        <v>7.11</v>
      </c>
      <c r="X261" s="13">
        <v>21.3</v>
      </c>
    </row>
    <row r="262" spans="1:24" ht="48" x14ac:dyDescent="0.2">
      <c r="A262" s="9" t="s">
        <v>6</v>
      </c>
      <c r="B262" s="10" t="s">
        <v>402</v>
      </c>
      <c r="C262" s="8">
        <v>5</v>
      </c>
      <c r="D262" s="11" t="s">
        <v>34</v>
      </c>
      <c r="E262" s="12">
        <v>13.09</v>
      </c>
      <c r="F262" s="12">
        <v>65.45</v>
      </c>
      <c r="G262" s="8">
        <v>17</v>
      </c>
      <c r="H262" s="8">
        <v>29</v>
      </c>
      <c r="I262" s="8">
        <v>42</v>
      </c>
      <c r="J262" s="55">
        <f>0.3*0.008*5</f>
        <v>1.1999999999999999E-2</v>
      </c>
      <c r="K262" s="8">
        <v>480</v>
      </c>
      <c r="N262" s="8">
        <v>0.72</v>
      </c>
      <c r="O262" s="8">
        <v>0.72</v>
      </c>
      <c r="P262" s="8">
        <v>0.72</v>
      </c>
      <c r="R262" s="8">
        <f t="shared" si="79"/>
        <v>4.1471999999999989</v>
      </c>
      <c r="S262" s="8">
        <f t="shared" si="80"/>
        <v>4.1471999999999989</v>
      </c>
      <c r="T262" s="8">
        <f t="shared" si="81"/>
        <v>4.1471999999999989</v>
      </c>
      <c r="V262" s="13">
        <v>0.72</v>
      </c>
      <c r="W262" s="13">
        <v>7.11</v>
      </c>
      <c r="X262" s="13">
        <v>21.3</v>
      </c>
    </row>
    <row r="263" spans="1:24" ht="48" x14ac:dyDescent="0.2">
      <c r="A263" s="9" t="s">
        <v>9</v>
      </c>
      <c r="B263" s="10" t="s">
        <v>403</v>
      </c>
      <c r="C263" s="8">
        <v>5</v>
      </c>
      <c r="D263" s="11" t="s">
        <v>34</v>
      </c>
      <c r="E263" s="12">
        <v>13.09</v>
      </c>
      <c r="F263" s="12">
        <v>65.45</v>
      </c>
      <c r="G263" s="8">
        <v>17</v>
      </c>
      <c r="H263" s="8">
        <v>29</v>
      </c>
      <c r="I263" s="8">
        <v>42</v>
      </c>
      <c r="J263" s="55">
        <f>0.012</f>
        <v>1.2E-2</v>
      </c>
      <c r="K263" s="8">
        <v>480</v>
      </c>
      <c r="N263" s="8">
        <v>0.72</v>
      </c>
      <c r="O263" s="8">
        <v>0.72</v>
      </c>
      <c r="P263" s="8">
        <v>0.72</v>
      </c>
      <c r="R263" s="8">
        <f t="shared" si="79"/>
        <v>4.1471999999999998</v>
      </c>
      <c r="S263" s="8">
        <f t="shared" si="80"/>
        <v>4.1471999999999998</v>
      </c>
      <c r="T263" s="8">
        <f t="shared" si="81"/>
        <v>4.1471999999999998</v>
      </c>
      <c r="V263" s="13">
        <v>0.72</v>
      </c>
      <c r="W263" s="13">
        <v>7.11</v>
      </c>
      <c r="X263" s="13">
        <v>21.3</v>
      </c>
    </row>
    <row r="264" spans="1:24" ht="32" x14ac:dyDescent="0.2">
      <c r="A264" s="9" t="s">
        <v>10</v>
      </c>
      <c r="B264" s="10" t="s">
        <v>404</v>
      </c>
      <c r="C264" s="8">
        <v>20</v>
      </c>
      <c r="D264" s="11" t="s">
        <v>34</v>
      </c>
      <c r="E264" s="12">
        <v>13.09</v>
      </c>
      <c r="F264" s="12">
        <v>261.8</v>
      </c>
      <c r="G264" s="8">
        <v>17</v>
      </c>
      <c r="H264" s="8">
        <v>29</v>
      </c>
      <c r="I264" s="8">
        <v>42</v>
      </c>
      <c r="J264" s="55">
        <f>0.3*0.008*20</f>
        <v>4.7999999999999994E-2</v>
      </c>
      <c r="K264" s="8">
        <v>480</v>
      </c>
      <c r="N264" s="8">
        <v>0.72</v>
      </c>
      <c r="O264" s="8">
        <v>0.72</v>
      </c>
      <c r="P264" s="8">
        <v>0.72</v>
      </c>
      <c r="R264" s="8">
        <f t="shared" si="79"/>
        <v>16.588799999999996</v>
      </c>
      <c r="S264" s="8">
        <f t="shared" si="80"/>
        <v>16.588799999999996</v>
      </c>
      <c r="T264" s="8">
        <f t="shared" si="81"/>
        <v>16.588799999999996</v>
      </c>
      <c r="V264" s="13">
        <v>0.72</v>
      </c>
      <c r="W264" s="13">
        <v>7.11</v>
      </c>
      <c r="X264" s="13">
        <v>21.3</v>
      </c>
    </row>
    <row r="265" spans="1:24" ht="64" x14ac:dyDescent="0.2">
      <c r="A265" s="9" t="s">
        <v>11</v>
      </c>
      <c r="B265" s="10" t="s">
        <v>405</v>
      </c>
      <c r="C265" s="8">
        <v>1</v>
      </c>
      <c r="D265" s="11" t="s">
        <v>36</v>
      </c>
      <c r="E265" s="12">
        <v>2149.31</v>
      </c>
      <c r="F265" s="12">
        <v>2149.31</v>
      </c>
      <c r="G265" s="8">
        <v>15</v>
      </c>
      <c r="H265" s="8">
        <v>20</v>
      </c>
      <c r="I265" s="8">
        <v>25</v>
      </c>
      <c r="J265" s="55">
        <f>2.71*3.14*0.024*0.024</f>
        <v>4.9014143999999999E-3</v>
      </c>
      <c r="K265" s="8">
        <v>8000</v>
      </c>
      <c r="N265" s="13">
        <v>6.15</v>
      </c>
      <c r="O265" s="13">
        <v>6.15</v>
      </c>
      <c r="P265" s="13">
        <v>6.15</v>
      </c>
      <c r="R265" s="8">
        <f t="shared" ref="R265:R268" si="82">N265*K265*J265</f>
        <v>241.14958848000001</v>
      </c>
      <c r="S265" s="8">
        <f t="shared" ref="S265:S268" si="83">O265*K265*J265</f>
        <v>241.14958848000001</v>
      </c>
      <c r="T265" s="8">
        <f t="shared" ref="T265:T268" si="84">P265*K265*J265</f>
        <v>241.14958848000001</v>
      </c>
      <c r="V265" s="13">
        <v>40.200000000000003</v>
      </c>
      <c r="W265" s="13">
        <v>48.36</v>
      </c>
      <c r="X265" s="13">
        <v>51.48</v>
      </c>
    </row>
    <row r="266" spans="1:24" ht="64" x14ac:dyDescent="0.2">
      <c r="A266" s="9" t="s">
        <v>12</v>
      </c>
      <c r="B266" s="10" t="s">
        <v>406</v>
      </c>
      <c r="C266" s="8">
        <v>6</v>
      </c>
      <c r="D266" s="11" t="s">
        <v>34</v>
      </c>
      <c r="E266" s="12">
        <v>607.95000000000005</v>
      </c>
      <c r="F266" s="12">
        <v>3647.7</v>
      </c>
      <c r="G266" s="8">
        <v>15</v>
      </c>
      <c r="H266" s="8">
        <v>20</v>
      </c>
      <c r="I266" s="8">
        <v>25</v>
      </c>
      <c r="J266" s="55">
        <f>3.14*0.024*0.024*6</f>
        <v>1.0851840000000001E-2</v>
      </c>
      <c r="K266" s="8">
        <v>8000</v>
      </c>
      <c r="N266" s="13">
        <v>6.15</v>
      </c>
      <c r="O266" s="13">
        <v>6.15</v>
      </c>
      <c r="P266" s="13">
        <v>6.15</v>
      </c>
      <c r="R266" s="8">
        <f t="shared" si="82"/>
        <v>533.91052800000011</v>
      </c>
      <c r="S266" s="8">
        <f t="shared" si="83"/>
        <v>533.91052800000011</v>
      </c>
      <c r="T266" s="8">
        <f t="shared" si="84"/>
        <v>533.91052800000011</v>
      </c>
      <c r="V266" s="13">
        <v>40.200000000000003</v>
      </c>
      <c r="W266" s="13">
        <v>48.36</v>
      </c>
      <c r="X266" s="13">
        <v>51.48</v>
      </c>
    </row>
    <row r="267" spans="1:24" ht="64" x14ac:dyDescent="0.2">
      <c r="A267" s="9" t="s">
        <v>13</v>
      </c>
      <c r="B267" s="10" t="s">
        <v>407</v>
      </c>
      <c r="C267" s="8">
        <v>17</v>
      </c>
      <c r="D267" s="11" t="s">
        <v>34</v>
      </c>
      <c r="E267" s="12">
        <v>623.25</v>
      </c>
      <c r="F267" s="12">
        <v>10595.25</v>
      </c>
      <c r="G267" s="8">
        <v>15</v>
      </c>
      <c r="H267" s="8">
        <v>20</v>
      </c>
      <c r="I267" s="8">
        <v>25</v>
      </c>
      <c r="J267" s="55">
        <f>3.14*0.24*0.24*17</f>
        <v>3.0746880000000001</v>
      </c>
      <c r="K267" s="8">
        <v>8000</v>
      </c>
      <c r="N267" s="13">
        <v>6.15</v>
      </c>
      <c r="O267" s="13">
        <v>6.15</v>
      </c>
      <c r="P267" s="13">
        <v>6.15</v>
      </c>
      <c r="R267" s="8">
        <f t="shared" si="82"/>
        <v>151274.6496</v>
      </c>
      <c r="S267" s="8">
        <f t="shared" si="83"/>
        <v>151274.6496</v>
      </c>
      <c r="T267" s="8">
        <f t="shared" si="84"/>
        <v>151274.6496</v>
      </c>
      <c r="V267" s="13">
        <v>40.200000000000003</v>
      </c>
      <c r="W267" s="13">
        <v>48.36</v>
      </c>
      <c r="X267" s="13">
        <v>51.48</v>
      </c>
    </row>
    <row r="268" spans="1:24" ht="64" x14ac:dyDescent="0.2">
      <c r="A268" s="9" t="s">
        <v>14</v>
      </c>
      <c r="B268" s="10" t="s">
        <v>408</v>
      </c>
      <c r="C268" s="8">
        <v>3</v>
      </c>
      <c r="D268" s="11" t="s">
        <v>34</v>
      </c>
      <c r="E268" s="12">
        <v>1001.89</v>
      </c>
      <c r="F268" s="12">
        <v>3005.67</v>
      </c>
      <c r="G268" s="8">
        <v>15</v>
      </c>
      <c r="H268" s="8">
        <v>20</v>
      </c>
      <c r="I268" s="8">
        <v>25</v>
      </c>
      <c r="J268" s="55">
        <f>3.14*0.24*0.24*3</f>
        <v>0.54259199999999996</v>
      </c>
      <c r="K268" s="8">
        <v>8000</v>
      </c>
      <c r="N268" s="13">
        <v>6.15</v>
      </c>
      <c r="O268" s="13">
        <v>6.15</v>
      </c>
      <c r="P268" s="13">
        <v>6.15</v>
      </c>
      <c r="R268" s="8">
        <f t="shared" si="82"/>
        <v>26695.526399999999</v>
      </c>
      <c r="S268" s="8">
        <f t="shared" si="83"/>
        <v>26695.526399999999</v>
      </c>
      <c r="T268" s="8">
        <f t="shared" si="84"/>
        <v>26695.526399999999</v>
      </c>
      <c r="V268" s="13">
        <v>40.200000000000003</v>
      </c>
      <c r="W268" s="13">
        <v>48.36</v>
      </c>
      <c r="X268" s="13">
        <v>51.48</v>
      </c>
    </row>
    <row r="269" spans="1:24" ht="64" x14ac:dyDescent="0.2">
      <c r="A269" s="9" t="s">
        <v>15</v>
      </c>
      <c r="B269" s="10" t="s">
        <v>409</v>
      </c>
      <c r="C269" s="8">
        <v>5</v>
      </c>
      <c r="D269" s="11" t="s">
        <v>36</v>
      </c>
      <c r="E269" s="12">
        <v>95.91</v>
      </c>
      <c r="F269" s="12">
        <v>479.55</v>
      </c>
      <c r="G269" s="8">
        <v>15</v>
      </c>
      <c r="H269" s="8">
        <v>20</v>
      </c>
      <c r="I269" s="8">
        <v>25</v>
      </c>
      <c r="V269" s="13"/>
      <c r="W269" s="13"/>
      <c r="X269" s="13"/>
    </row>
    <row r="270" spans="1:24" ht="48" x14ac:dyDescent="0.2">
      <c r="A270" s="9" t="s">
        <v>16</v>
      </c>
      <c r="B270" s="10" t="s">
        <v>410</v>
      </c>
      <c r="C270" s="8">
        <v>4</v>
      </c>
      <c r="D270" s="11" t="s">
        <v>36</v>
      </c>
      <c r="E270" s="12">
        <v>95.91</v>
      </c>
      <c r="F270" s="12">
        <v>383.64</v>
      </c>
      <c r="G270" s="8">
        <v>15</v>
      </c>
      <c r="H270" s="8">
        <v>20</v>
      </c>
      <c r="I270" s="8">
        <v>25</v>
      </c>
      <c r="V270" s="13"/>
      <c r="W270" s="13"/>
      <c r="X270" s="13"/>
    </row>
    <row r="271" spans="1:24" ht="48" x14ac:dyDescent="0.2">
      <c r="A271" s="9" t="s">
        <v>17</v>
      </c>
      <c r="B271" s="10" t="s">
        <v>411</v>
      </c>
      <c r="C271" s="8">
        <v>1</v>
      </c>
      <c r="D271" s="11" t="s">
        <v>36</v>
      </c>
      <c r="E271" s="12">
        <v>95.91</v>
      </c>
      <c r="F271" s="12">
        <v>95.91</v>
      </c>
      <c r="G271" s="8">
        <v>15</v>
      </c>
      <c r="H271" s="8">
        <v>20</v>
      </c>
      <c r="I271" s="8">
        <v>25</v>
      </c>
      <c r="V271" s="13"/>
      <c r="W271" s="13"/>
      <c r="X271" s="13"/>
    </row>
    <row r="272" spans="1:24" ht="64" x14ac:dyDescent="0.2">
      <c r="A272" s="9" t="s">
        <v>18</v>
      </c>
      <c r="B272" s="10" t="s">
        <v>412</v>
      </c>
      <c r="C272" s="8">
        <v>24</v>
      </c>
      <c r="D272" s="11" t="s">
        <v>34</v>
      </c>
      <c r="E272" s="12">
        <v>586.86</v>
      </c>
      <c r="F272" s="12">
        <v>14084.64</v>
      </c>
      <c r="G272" s="8">
        <v>15</v>
      </c>
      <c r="H272" s="8">
        <v>20</v>
      </c>
      <c r="I272" s="8">
        <v>25</v>
      </c>
      <c r="J272" s="55">
        <f>3.14*0.24*0.24*24</f>
        <v>4.3407359999999997</v>
      </c>
      <c r="K272" s="8">
        <v>8000</v>
      </c>
      <c r="N272" s="13">
        <v>6.15</v>
      </c>
      <c r="O272" s="13">
        <v>6.15</v>
      </c>
      <c r="P272" s="13">
        <v>6.15</v>
      </c>
      <c r="R272" s="8">
        <f t="shared" ref="R272" si="85">N272*K272*J272</f>
        <v>213564.21119999999</v>
      </c>
      <c r="S272" s="8">
        <f t="shared" ref="S272" si="86">O272*K272*J272</f>
        <v>213564.21119999999</v>
      </c>
      <c r="T272" s="8">
        <f t="shared" ref="T272" si="87">P272*K272*J272</f>
        <v>213564.21119999999</v>
      </c>
      <c r="V272" s="13">
        <v>40.200000000000003</v>
      </c>
      <c r="W272" s="13">
        <v>48.36</v>
      </c>
      <c r="X272" s="13">
        <v>51.48</v>
      </c>
    </row>
    <row r="273" spans="1:24" ht="64" x14ac:dyDescent="0.2">
      <c r="A273" s="9" t="s">
        <v>19</v>
      </c>
      <c r="B273" s="10" t="s">
        <v>409</v>
      </c>
      <c r="C273" s="8">
        <v>8</v>
      </c>
      <c r="D273" s="11" t="s">
        <v>36</v>
      </c>
      <c r="E273" s="12">
        <v>95.91</v>
      </c>
      <c r="F273" s="12">
        <v>767.28</v>
      </c>
      <c r="G273" s="8">
        <v>15</v>
      </c>
      <c r="H273" s="8">
        <v>20</v>
      </c>
      <c r="I273" s="8">
        <v>25</v>
      </c>
      <c r="V273" s="13"/>
      <c r="W273" s="13"/>
      <c r="X273" s="13"/>
    </row>
    <row r="274" spans="1:24" ht="48" x14ac:dyDescent="0.2">
      <c r="A274" s="9" t="s">
        <v>20</v>
      </c>
      <c r="B274" s="10" t="s">
        <v>413</v>
      </c>
      <c r="C274" s="8">
        <v>8</v>
      </c>
      <c r="D274" s="11" t="s">
        <v>36</v>
      </c>
      <c r="E274" s="12">
        <v>95.91</v>
      </c>
      <c r="F274" s="12">
        <v>767.28</v>
      </c>
      <c r="G274" s="8">
        <v>15</v>
      </c>
      <c r="H274" s="8">
        <v>20</v>
      </c>
      <c r="I274" s="8">
        <v>25</v>
      </c>
      <c r="V274" s="13"/>
      <c r="W274" s="13"/>
      <c r="X274" s="13"/>
    </row>
    <row r="275" spans="1:24" ht="48" x14ac:dyDescent="0.2">
      <c r="A275" s="9" t="s">
        <v>6</v>
      </c>
      <c r="B275" s="10" t="s">
        <v>414</v>
      </c>
      <c r="C275" s="8">
        <v>954</v>
      </c>
      <c r="D275" s="11" t="s">
        <v>35</v>
      </c>
      <c r="E275" s="12">
        <v>26</v>
      </c>
      <c r="F275" s="12">
        <v>24804</v>
      </c>
      <c r="G275" s="8">
        <v>32</v>
      </c>
      <c r="H275" s="8">
        <v>52</v>
      </c>
      <c r="I275" s="8">
        <v>81</v>
      </c>
      <c r="J275" s="55">
        <f>0.01*C275</f>
        <v>9.5400000000000009</v>
      </c>
      <c r="K275" s="8">
        <v>1900</v>
      </c>
      <c r="N275" s="8">
        <v>0.17399999999999999</v>
      </c>
      <c r="O275" s="8">
        <v>0.17399999999999999</v>
      </c>
      <c r="P275" s="8">
        <v>0.17399999999999999</v>
      </c>
      <c r="R275" s="8">
        <f t="shared" ref="R275:R278" si="88">N275*K275*J275</f>
        <v>3153.924</v>
      </c>
      <c r="S275" s="8">
        <f t="shared" ref="S275:S278" si="89">O275*K275*J275</f>
        <v>3153.924</v>
      </c>
      <c r="T275" s="8">
        <f t="shared" ref="T275:T278" si="90">P275*K275*J275</f>
        <v>3153.924</v>
      </c>
      <c r="V275" s="13">
        <v>0.1</v>
      </c>
      <c r="W275" s="13">
        <v>1.54</v>
      </c>
      <c r="X275" s="13">
        <v>3.49</v>
      </c>
    </row>
    <row r="276" spans="1:24" ht="48" x14ac:dyDescent="0.2">
      <c r="A276" s="9" t="s">
        <v>9</v>
      </c>
      <c r="B276" s="10" t="s">
        <v>415</v>
      </c>
      <c r="C276" s="8">
        <v>338</v>
      </c>
      <c r="D276" s="11" t="s">
        <v>34</v>
      </c>
      <c r="E276" s="12">
        <v>8</v>
      </c>
      <c r="F276" s="12">
        <v>2704</v>
      </c>
      <c r="G276" s="8">
        <v>32</v>
      </c>
      <c r="H276" s="8">
        <v>52</v>
      </c>
      <c r="I276" s="8">
        <v>81</v>
      </c>
      <c r="J276" s="55">
        <f>0.01*338*0.3</f>
        <v>1.014</v>
      </c>
      <c r="K276" s="8">
        <v>1900</v>
      </c>
      <c r="N276" s="8">
        <v>0.17399999999999999</v>
      </c>
      <c r="O276" s="8">
        <v>0.17399999999999999</v>
      </c>
      <c r="P276" s="8">
        <v>0.17399999999999999</v>
      </c>
      <c r="R276" s="8">
        <f t="shared" si="88"/>
        <v>335.22839999999997</v>
      </c>
      <c r="S276" s="8">
        <f t="shared" si="89"/>
        <v>335.22839999999997</v>
      </c>
      <c r="T276" s="8">
        <f t="shared" si="90"/>
        <v>335.22839999999997</v>
      </c>
      <c r="V276" s="13">
        <v>0.1</v>
      </c>
      <c r="W276" s="13">
        <v>1.54</v>
      </c>
      <c r="X276" s="13">
        <v>3.49</v>
      </c>
    </row>
    <row r="277" spans="1:24" ht="48" x14ac:dyDescent="0.2">
      <c r="A277" s="9" t="s">
        <v>10</v>
      </c>
      <c r="B277" s="10" t="s">
        <v>416</v>
      </c>
      <c r="C277" s="8">
        <v>80</v>
      </c>
      <c r="D277" s="11" t="s">
        <v>35</v>
      </c>
      <c r="E277" s="12">
        <v>52</v>
      </c>
      <c r="F277" s="12">
        <v>4160</v>
      </c>
      <c r="G277" s="8">
        <v>32</v>
      </c>
      <c r="H277" s="8">
        <v>52</v>
      </c>
      <c r="I277" s="8">
        <v>81</v>
      </c>
      <c r="J277" s="55">
        <f>0.01*80</f>
        <v>0.8</v>
      </c>
      <c r="K277" s="8">
        <v>1900</v>
      </c>
      <c r="N277" s="8">
        <v>0.17399999999999999</v>
      </c>
      <c r="O277" s="8">
        <v>0.17399999999999999</v>
      </c>
      <c r="P277" s="8">
        <v>0.17399999999999999</v>
      </c>
      <c r="R277" s="8">
        <f t="shared" si="88"/>
        <v>264.47999999999996</v>
      </c>
      <c r="S277" s="8">
        <f t="shared" si="89"/>
        <v>264.47999999999996</v>
      </c>
      <c r="T277" s="8">
        <f t="shared" si="90"/>
        <v>264.47999999999996</v>
      </c>
      <c r="V277" s="13">
        <v>0.1</v>
      </c>
      <c r="W277" s="13">
        <v>1.54</v>
      </c>
      <c r="X277" s="13">
        <v>3.49</v>
      </c>
    </row>
    <row r="278" spans="1:24" ht="64" x14ac:dyDescent="0.2">
      <c r="A278" s="9" t="s">
        <v>11</v>
      </c>
      <c r="B278" s="10" t="s">
        <v>417</v>
      </c>
      <c r="C278" s="8">
        <v>26</v>
      </c>
      <c r="D278" s="11" t="s">
        <v>34</v>
      </c>
      <c r="E278" s="12">
        <v>10</v>
      </c>
      <c r="F278" s="12">
        <v>260</v>
      </c>
      <c r="G278" s="8">
        <v>32</v>
      </c>
      <c r="H278" s="8">
        <v>52</v>
      </c>
      <c r="I278" s="8">
        <v>81</v>
      </c>
      <c r="J278" s="55">
        <f>0.01*26*0.3</f>
        <v>7.8E-2</v>
      </c>
      <c r="K278" s="8">
        <v>1900</v>
      </c>
      <c r="N278" s="8">
        <v>0.17399999999999999</v>
      </c>
      <c r="O278" s="8">
        <v>0.17399999999999999</v>
      </c>
      <c r="P278" s="8">
        <v>0.17399999999999999</v>
      </c>
      <c r="R278" s="8">
        <f t="shared" si="88"/>
        <v>25.786799999999996</v>
      </c>
      <c r="S278" s="8">
        <f t="shared" si="89"/>
        <v>25.786799999999996</v>
      </c>
      <c r="T278" s="8">
        <f t="shared" si="90"/>
        <v>25.786799999999996</v>
      </c>
      <c r="V278" s="13">
        <v>0.1</v>
      </c>
      <c r="W278" s="13">
        <v>1.54</v>
      </c>
      <c r="X278" s="13">
        <v>3.49</v>
      </c>
    </row>
    <row r="279" spans="1:24" ht="64" x14ac:dyDescent="0.2">
      <c r="A279" s="9" t="s">
        <v>12</v>
      </c>
      <c r="B279" s="10" t="s">
        <v>418</v>
      </c>
      <c r="C279" s="8">
        <v>495</v>
      </c>
      <c r="D279" s="11" t="s">
        <v>34</v>
      </c>
      <c r="E279" s="12">
        <v>1.1499999999999999</v>
      </c>
      <c r="F279" s="12">
        <v>569.25</v>
      </c>
      <c r="G279" s="8">
        <v>32</v>
      </c>
      <c r="H279" s="8">
        <v>52</v>
      </c>
      <c r="I279" s="8">
        <v>81</v>
      </c>
      <c r="V279" s="13"/>
      <c r="W279" s="13"/>
      <c r="X279" s="13"/>
    </row>
    <row r="280" spans="1:24" ht="64" x14ac:dyDescent="0.2">
      <c r="A280" s="9" t="s">
        <v>13</v>
      </c>
      <c r="B280" s="10" t="s">
        <v>419</v>
      </c>
      <c r="C280" s="8">
        <v>230</v>
      </c>
      <c r="D280" s="11" t="s">
        <v>34</v>
      </c>
      <c r="E280" s="12">
        <v>1.1499999999999999</v>
      </c>
      <c r="F280" s="12">
        <v>264.5</v>
      </c>
      <c r="G280" s="8">
        <v>32</v>
      </c>
      <c r="H280" s="8">
        <v>52</v>
      </c>
      <c r="I280" s="8">
        <v>81</v>
      </c>
      <c r="V280" s="13"/>
      <c r="W280" s="13"/>
      <c r="X280" s="13"/>
    </row>
    <row r="281" spans="1:24" ht="176" x14ac:dyDescent="0.2">
      <c r="A281" s="9" t="s">
        <v>12</v>
      </c>
      <c r="B281" s="10" t="s">
        <v>420</v>
      </c>
      <c r="C281" s="8">
        <v>6</v>
      </c>
      <c r="D281" s="11" t="s">
        <v>36</v>
      </c>
      <c r="E281" s="12">
        <v>10004.5</v>
      </c>
      <c r="F281" s="12">
        <v>60027</v>
      </c>
      <c r="G281" s="8">
        <v>22</v>
      </c>
      <c r="H281" s="8">
        <v>34</v>
      </c>
      <c r="I281" s="8">
        <v>45</v>
      </c>
      <c r="J281" s="55">
        <f>0.57*1.2*6</f>
        <v>4.1039999999999992</v>
      </c>
      <c r="K281" s="8">
        <v>30</v>
      </c>
      <c r="N281" s="8">
        <v>0.91</v>
      </c>
      <c r="O281" s="8">
        <v>0.91</v>
      </c>
      <c r="P281" s="8">
        <v>0.91</v>
      </c>
      <c r="R281" s="8">
        <f t="shared" ref="R281:R314" si="91">N281*K281*J281</f>
        <v>112.03919999999998</v>
      </c>
      <c r="S281" s="8">
        <f t="shared" ref="S281:S314" si="92">O281*K281*J281</f>
        <v>112.03919999999998</v>
      </c>
      <c r="T281" s="8">
        <f t="shared" ref="T281:T314" si="93">P281*K281*J281</f>
        <v>112.03919999999998</v>
      </c>
      <c r="V281" s="13">
        <v>12.3</v>
      </c>
      <c r="W281" s="13">
        <v>16.809999999999999</v>
      </c>
      <c r="X281" s="13">
        <v>25.09</v>
      </c>
    </row>
    <row r="282" spans="1:24" ht="160" x14ac:dyDescent="0.2">
      <c r="A282" s="9" t="s">
        <v>13</v>
      </c>
      <c r="B282" s="10" t="s">
        <v>421</v>
      </c>
      <c r="C282" s="8">
        <v>1</v>
      </c>
      <c r="D282" s="11" t="s">
        <v>36</v>
      </c>
      <c r="E282" s="12">
        <v>35</v>
      </c>
      <c r="F282" s="12">
        <v>35</v>
      </c>
      <c r="G282" s="8">
        <v>22</v>
      </c>
      <c r="H282" s="8">
        <v>34</v>
      </c>
      <c r="I282" s="8">
        <v>45</v>
      </c>
      <c r="J282" s="55">
        <f>0.685*0.685</f>
        <v>0.46922500000000006</v>
      </c>
      <c r="K282" s="8">
        <v>30</v>
      </c>
      <c r="N282" s="8">
        <v>0.91</v>
      </c>
      <c r="O282" s="8">
        <v>0.91</v>
      </c>
      <c r="P282" s="8">
        <v>0.91</v>
      </c>
      <c r="R282" s="8">
        <f t="shared" si="91"/>
        <v>12.809842500000002</v>
      </c>
      <c r="S282" s="8">
        <f t="shared" si="92"/>
        <v>12.809842500000002</v>
      </c>
      <c r="T282" s="8">
        <f t="shared" si="93"/>
        <v>12.809842500000002</v>
      </c>
      <c r="V282" s="13">
        <v>12.3</v>
      </c>
      <c r="W282" s="13">
        <v>16.809999999999999</v>
      </c>
      <c r="X282" s="13">
        <v>25.09</v>
      </c>
    </row>
    <row r="283" spans="1:24" ht="176" x14ac:dyDescent="0.2">
      <c r="A283" s="9" t="s">
        <v>14</v>
      </c>
      <c r="B283" s="10" t="s">
        <v>422</v>
      </c>
      <c r="C283" s="8">
        <v>2</v>
      </c>
      <c r="D283" s="11" t="s">
        <v>36</v>
      </c>
      <c r="E283" s="12">
        <v>35</v>
      </c>
      <c r="F283" s="12">
        <v>70</v>
      </c>
      <c r="G283" s="8">
        <v>22</v>
      </c>
      <c r="H283" s="8">
        <v>34</v>
      </c>
      <c r="I283" s="8">
        <v>45</v>
      </c>
      <c r="J283" s="55">
        <f>0.685*0.685*2</f>
        <v>0.93845000000000012</v>
      </c>
      <c r="K283" s="8">
        <v>30</v>
      </c>
      <c r="N283" s="8">
        <v>0.91</v>
      </c>
      <c r="O283" s="8">
        <v>0.91</v>
      </c>
      <c r="P283" s="8">
        <v>0.91</v>
      </c>
      <c r="R283" s="8">
        <f t="shared" si="91"/>
        <v>25.619685000000004</v>
      </c>
      <c r="S283" s="8">
        <f t="shared" si="92"/>
        <v>25.619685000000004</v>
      </c>
      <c r="T283" s="8">
        <f t="shared" si="93"/>
        <v>25.619685000000004</v>
      </c>
      <c r="V283" s="13">
        <v>12.3</v>
      </c>
      <c r="W283" s="13">
        <v>16.809999999999999</v>
      </c>
      <c r="X283" s="13">
        <v>25.09</v>
      </c>
    </row>
    <row r="284" spans="1:24" ht="176" x14ac:dyDescent="0.2">
      <c r="A284" s="9" t="s">
        <v>6</v>
      </c>
      <c r="B284" s="10" t="s">
        <v>423</v>
      </c>
      <c r="C284" s="8">
        <v>6</v>
      </c>
      <c r="D284" s="11" t="s">
        <v>36</v>
      </c>
      <c r="E284" s="12">
        <v>35</v>
      </c>
      <c r="F284" s="12">
        <v>210</v>
      </c>
      <c r="G284" s="8">
        <v>22</v>
      </c>
      <c r="H284" s="8">
        <v>34</v>
      </c>
      <c r="I284" s="8">
        <v>45</v>
      </c>
      <c r="J284" s="55">
        <f>0.685*1.06*6</f>
        <v>4.3566000000000003</v>
      </c>
      <c r="K284" s="8">
        <v>30</v>
      </c>
      <c r="N284" s="8">
        <v>0.91</v>
      </c>
      <c r="O284" s="8">
        <v>0.91</v>
      </c>
      <c r="P284" s="8">
        <v>0.91</v>
      </c>
      <c r="R284" s="8">
        <f t="shared" si="91"/>
        <v>118.93518000000002</v>
      </c>
      <c r="S284" s="8">
        <f t="shared" si="92"/>
        <v>118.93518000000002</v>
      </c>
      <c r="T284" s="8">
        <f t="shared" si="93"/>
        <v>118.93518000000002</v>
      </c>
      <c r="V284" s="13">
        <v>12.3</v>
      </c>
      <c r="W284" s="13">
        <v>16.809999999999999</v>
      </c>
      <c r="X284" s="13">
        <v>25.09</v>
      </c>
    </row>
    <row r="285" spans="1:24" ht="176" x14ac:dyDescent="0.2">
      <c r="A285" s="9" t="s">
        <v>9</v>
      </c>
      <c r="B285" s="10" t="s">
        <v>424</v>
      </c>
      <c r="C285" s="8">
        <v>3</v>
      </c>
      <c r="D285" s="11" t="s">
        <v>36</v>
      </c>
      <c r="E285" s="12">
        <v>35</v>
      </c>
      <c r="F285" s="12">
        <v>105</v>
      </c>
      <c r="G285" s="8">
        <v>22</v>
      </c>
      <c r="H285" s="8">
        <v>34</v>
      </c>
      <c r="I285" s="8">
        <v>45</v>
      </c>
      <c r="J285" s="55">
        <f>0.685*1.06*3</f>
        <v>2.1783000000000001</v>
      </c>
      <c r="K285" s="8">
        <v>30</v>
      </c>
      <c r="N285" s="8">
        <v>0.91</v>
      </c>
      <c r="O285" s="8">
        <v>0.91</v>
      </c>
      <c r="P285" s="8">
        <v>0.91</v>
      </c>
      <c r="R285" s="8">
        <f t="shared" si="91"/>
        <v>59.467590000000008</v>
      </c>
      <c r="S285" s="8">
        <f t="shared" si="92"/>
        <v>59.467590000000008</v>
      </c>
      <c r="T285" s="8">
        <f t="shared" si="93"/>
        <v>59.467590000000008</v>
      </c>
      <c r="V285" s="13">
        <v>12.3</v>
      </c>
      <c r="W285" s="13">
        <v>16.809999999999999</v>
      </c>
      <c r="X285" s="13">
        <v>25.09</v>
      </c>
    </row>
    <row r="286" spans="1:24" ht="160" x14ac:dyDescent="0.2">
      <c r="A286" s="9" t="s">
        <v>10</v>
      </c>
      <c r="B286" s="10" t="s">
        <v>425</v>
      </c>
      <c r="C286" s="8">
        <v>1</v>
      </c>
      <c r="D286" s="11" t="s">
        <v>36</v>
      </c>
      <c r="E286" s="12">
        <v>35</v>
      </c>
      <c r="F286" s="12">
        <v>35</v>
      </c>
      <c r="G286" s="8">
        <v>22</v>
      </c>
      <c r="H286" s="8">
        <v>34</v>
      </c>
      <c r="I286" s="8">
        <v>45</v>
      </c>
      <c r="J286" s="55">
        <f>0.685*1.21</f>
        <v>0.82885000000000009</v>
      </c>
      <c r="K286" s="8">
        <v>30</v>
      </c>
      <c r="N286" s="8">
        <v>0.91</v>
      </c>
      <c r="O286" s="8">
        <v>0.91</v>
      </c>
      <c r="P286" s="8">
        <v>0.91</v>
      </c>
      <c r="R286" s="8">
        <f t="shared" si="91"/>
        <v>22.627605000000003</v>
      </c>
      <c r="S286" s="8">
        <f t="shared" si="92"/>
        <v>22.627605000000003</v>
      </c>
      <c r="T286" s="8">
        <f t="shared" si="93"/>
        <v>22.627605000000003</v>
      </c>
      <c r="V286" s="13">
        <v>12.3</v>
      </c>
      <c r="W286" s="13">
        <v>16.809999999999999</v>
      </c>
      <c r="X286" s="13">
        <v>25.09</v>
      </c>
    </row>
    <row r="287" spans="1:24" ht="176" x14ac:dyDescent="0.2">
      <c r="A287" s="9" t="s">
        <v>11</v>
      </c>
      <c r="B287" s="10" t="s">
        <v>426</v>
      </c>
      <c r="C287" s="8">
        <v>1</v>
      </c>
      <c r="D287" s="11" t="s">
        <v>36</v>
      </c>
      <c r="E287" s="12">
        <v>35</v>
      </c>
      <c r="F287" s="12">
        <v>35</v>
      </c>
      <c r="G287" s="8">
        <v>22</v>
      </c>
      <c r="H287" s="8">
        <v>34</v>
      </c>
      <c r="I287" s="8">
        <v>45</v>
      </c>
      <c r="J287" s="55">
        <f>0.685*1.21</f>
        <v>0.82885000000000009</v>
      </c>
      <c r="K287" s="8">
        <v>30</v>
      </c>
      <c r="N287" s="8">
        <v>0.91</v>
      </c>
      <c r="O287" s="8">
        <v>0.91</v>
      </c>
      <c r="P287" s="8">
        <v>0.91</v>
      </c>
      <c r="R287" s="8">
        <f t="shared" si="91"/>
        <v>22.627605000000003</v>
      </c>
      <c r="S287" s="8">
        <f t="shared" si="92"/>
        <v>22.627605000000003</v>
      </c>
      <c r="T287" s="8">
        <f t="shared" si="93"/>
        <v>22.627605000000003</v>
      </c>
      <c r="V287" s="13">
        <v>12.3</v>
      </c>
      <c r="W287" s="13">
        <v>16.809999999999999</v>
      </c>
      <c r="X287" s="13">
        <v>25.09</v>
      </c>
    </row>
    <row r="288" spans="1:24" ht="176" x14ac:dyDescent="0.2">
      <c r="A288" s="9" t="s">
        <v>12</v>
      </c>
      <c r="B288" s="10" t="s">
        <v>427</v>
      </c>
      <c r="C288" s="8">
        <v>1</v>
      </c>
      <c r="D288" s="11" t="s">
        <v>36</v>
      </c>
      <c r="E288" s="12">
        <v>35</v>
      </c>
      <c r="F288" s="12">
        <v>35</v>
      </c>
      <c r="G288" s="8">
        <v>22</v>
      </c>
      <c r="H288" s="8">
        <v>34</v>
      </c>
      <c r="I288" s="8">
        <v>45</v>
      </c>
      <c r="J288" s="55">
        <f>0.685*1.21</f>
        <v>0.82885000000000009</v>
      </c>
      <c r="K288" s="8">
        <v>30</v>
      </c>
      <c r="N288" s="8">
        <v>0.91</v>
      </c>
      <c r="O288" s="8">
        <v>0.91</v>
      </c>
      <c r="P288" s="8">
        <v>0.91</v>
      </c>
      <c r="R288" s="8">
        <f t="shared" si="91"/>
        <v>22.627605000000003</v>
      </c>
      <c r="S288" s="8">
        <f t="shared" si="92"/>
        <v>22.627605000000003</v>
      </c>
      <c r="T288" s="8">
        <f t="shared" si="93"/>
        <v>22.627605000000003</v>
      </c>
      <c r="V288" s="13">
        <v>12.3</v>
      </c>
      <c r="W288" s="13">
        <v>16.809999999999999</v>
      </c>
      <c r="X288" s="13">
        <v>25.09</v>
      </c>
    </row>
    <row r="289" spans="1:24" ht="176" x14ac:dyDescent="0.2">
      <c r="A289" s="9" t="s">
        <v>13</v>
      </c>
      <c r="B289" s="10" t="s">
        <v>428</v>
      </c>
      <c r="C289" s="8">
        <v>1</v>
      </c>
      <c r="D289" s="11" t="s">
        <v>36</v>
      </c>
      <c r="E289" s="12">
        <v>38</v>
      </c>
      <c r="F289" s="12">
        <v>38</v>
      </c>
      <c r="G289" s="8">
        <v>22</v>
      </c>
      <c r="H289" s="8">
        <v>34</v>
      </c>
      <c r="I289" s="8">
        <v>45</v>
      </c>
      <c r="J289" s="55">
        <f>0.685*1.81</f>
        <v>1.2398500000000001</v>
      </c>
      <c r="K289" s="8">
        <v>30</v>
      </c>
      <c r="N289" s="8">
        <v>0.91</v>
      </c>
      <c r="O289" s="8">
        <v>0.91</v>
      </c>
      <c r="P289" s="8">
        <v>0.91</v>
      </c>
      <c r="R289" s="8">
        <f t="shared" si="91"/>
        <v>33.847905000000004</v>
      </c>
      <c r="S289" s="8">
        <f t="shared" si="92"/>
        <v>33.847905000000004</v>
      </c>
      <c r="T289" s="8">
        <f t="shared" si="93"/>
        <v>33.847905000000004</v>
      </c>
      <c r="V289" s="13">
        <v>12.3</v>
      </c>
      <c r="W289" s="13">
        <v>16.809999999999999</v>
      </c>
      <c r="X289" s="13">
        <v>25.09</v>
      </c>
    </row>
    <row r="290" spans="1:24" ht="176" x14ac:dyDescent="0.2">
      <c r="A290" s="9" t="s">
        <v>14</v>
      </c>
      <c r="B290" s="10" t="s">
        <v>429</v>
      </c>
      <c r="C290" s="8">
        <v>3</v>
      </c>
      <c r="D290" s="11" t="s">
        <v>36</v>
      </c>
      <c r="E290" s="12">
        <v>38</v>
      </c>
      <c r="F290" s="12">
        <v>114</v>
      </c>
      <c r="G290" s="8">
        <v>22</v>
      </c>
      <c r="H290" s="8">
        <v>34</v>
      </c>
      <c r="I290" s="8">
        <v>45</v>
      </c>
      <c r="J290" s="55">
        <f>1.023*1.21*3</f>
        <v>3.7134899999999993</v>
      </c>
      <c r="K290" s="8">
        <v>30</v>
      </c>
      <c r="N290" s="8">
        <v>0.91</v>
      </c>
      <c r="O290" s="8">
        <v>0.91</v>
      </c>
      <c r="P290" s="8">
        <v>0.91</v>
      </c>
      <c r="R290" s="8">
        <f t="shared" si="91"/>
        <v>101.37827699999998</v>
      </c>
      <c r="S290" s="8">
        <f t="shared" si="92"/>
        <v>101.37827699999998</v>
      </c>
      <c r="T290" s="8">
        <f t="shared" si="93"/>
        <v>101.37827699999998</v>
      </c>
      <c r="V290" s="13">
        <v>12.3</v>
      </c>
      <c r="W290" s="13">
        <v>16.809999999999999</v>
      </c>
      <c r="X290" s="13">
        <v>25.09</v>
      </c>
    </row>
    <row r="291" spans="1:24" ht="176" x14ac:dyDescent="0.2">
      <c r="A291" s="9" t="s">
        <v>15</v>
      </c>
      <c r="B291" s="10" t="s">
        <v>430</v>
      </c>
      <c r="C291" s="8">
        <v>1</v>
      </c>
      <c r="D291" s="11" t="s">
        <v>36</v>
      </c>
      <c r="E291" s="12">
        <v>38</v>
      </c>
      <c r="F291" s="12">
        <v>38</v>
      </c>
      <c r="G291" s="8">
        <v>22</v>
      </c>
      <c r="H291" s="8">
        <v>34</v>
      </c>
      <c r="I291" s="8">
        <v>45</v>
      </c>
      <c r="J291" s="55">
        <f>1.023*1.21</f>
        <v>1.2378299999999998</v>
      </c>
      <c r="K291" s="8">
        <v>30</v>
      </c>
      <c r="N291" s="8">
        <v>0.91</v>
      </c>
      <c r="O291" s="8">
        <v>0.91</v>
      </c>
      <c r="P291" s="8">
        <v>0.91</v>
      </c>
      <c r="R291" s="8">
        <f t="shared" si="91"/>
        <v>33.792758999999997</v>
      </c>
      <c r="S291" s="8">
        <f t="shared" si="92"/>
        <v>33.792758999999997</v>
      </c>
      <c r="T291" s="8">
        <f t="shared" si="93"/>
        <v>33.792758999999997</v>
      </c>
      <c r="V291" s="13">
        <v>12.3</v>
      </c>
      <c r="W291" s="13">
        <v>16.809999999999999</v>
      </c>
      <c r="X291" s="13">
        <v>25.09</v>
      </c>
    </row>
    <row r="292" spans="1:24" ht="176" x14ac:dyDescent="0.2">
      <c r="A292" s="9" t="s">
        <v>16</v>
      </c>
      <c r="B292" s="10" t="s">
        <v>431</v>
      </c>
      <c r="C292" s="8">
        <v>1</v>
      </c>
      <c r="D292" s="11" t="s">
        <v>36</v>
      </c>
      <c r="E292" s="12">
        <v>38</v>
      </c>
      <c r="F292" s="12">
        <v>38</v>
      </c>
      <c r="G292" s="8">
        <v>22</v>
      </c>
      <c r="H292" s="8">
        <v>34</v>
      </c>
      <c r="I292" s="8">
        <v>45</v>
      </c>
      <c r="J292" s="55">
        <f>1.135*1.06</f>
        <v>1.2031000000000001</v>
      </c>
      <c r="K292" s="8">
        <v>30</v>
      </c>
      <c r="N292" s="8">
        <v>0.91</v>
      </c>
      <c r="O292" s="8">
        <v>0.91</v>
      </c>
      <c r="P292" s="8">
        <v>0.91</v>
      </c>
      <c r="R292" s="8">
        <f t="shared" si="91"/>
        <v>32.844630000000002</v>
      </c>
      <c r="S292" s="8">
        <f t="shared" si="92"/>
        <v>32.844630000000002</v>
      </c>
      <c r="T292" s="8">
        <f t="shared" si="93"/>
        <v>32.844630000000002</v>
      </c>
      <c r="V292" s="13">
        <v>12.3</v>
      </c>
      <c r="W292" s="13">
        <v>16.809999999999999</v>
      </c>
      <c r="X292" s="13">
        <v>25.09</v>
      </c>
    </row>
    <row r="293" spans="1:24" ht="176" x14ac:dyDescent="0.2">
      <c r="A293" s="9" t="s">
        <v>17</v>
      </c>
      <c r="B293" s="10" t="s">
        <v>432</v>
      </c>
      <c r="C293" s="8">
        <v>3</v>
      </c>
      <c r="D293" s="11" t="s">
        <v>36</v>
      </c>
      <c r="E293" s="12">
        <v>38</v>
      </c>
      <c r="F293" s="12">
        <v>114</v>
      </c>
      <c r="G293" s="8">
        <v>22</v>
      </c>
      <c r="H293" s="8">
        <v>34</v>
      </c>
      <c r="I293" s="8">
        <v>45</v>
      </c>
      <c r="J293" s="55">
        <f>1.135*1.36*3</f>
        <v>4.6308000000000007</v>
      </c>
      <c r="K293" s="8">
        <v>30</v>
      </c>
      <c r="N293" s="8">
        <v>0.91</v>
      </c>
      <c r="O293" s="8">
        <v>0.91</v>
      </c>
      <c r="P293" s="8">
        <v>0.91</v>
      </c>
      <c r="R293" s="8">
        <f t="shared" si="91"/>
        <v>126.42084000000003</v>
      </c>
      <c r="S293" s="8">
        <f t="shared" si="92"/>
        <v>126.42084000000003</v>
      </c>
      <c r="T293" s="8">
        <f t="shared" si="93"/>
        <v>126.42084000000003</v>
      </c>
      <c r="V293" s="13">
        <v>12.3</v>
      </c>
      <c r="W293" s="13">
        <v>16.809999999999999</v>
      </c>
      <c r="X293" s="13">
        <v>25.09</v>
      </c>
    </row>
    <row r="294" spans="1:24" ht="176" x14ac:dyDescent="0.2">
      <c r="A294" s="9" t="s">
        <v>18</v>
      </c>
      <c r="B294" s="10" t="s">
        <v>433</v>
      </c>
      <c r="C294" s="8">
        <v>1</v>
      </c>
      <c r="D294" s="11" t="s">
        <v>36</v>
      </c>
      <c r="E294" s="12">
        <v>38</v>
      </c>
      <c r="F294" s="12">
        <v>38</v>
      </c>
      <c r="G294" s="8">
        <v>22</v>
      </c>
      <c r="H294" s="8">
        <v>34</v>
      </c>
      <c r="I294" s="8">
        <v>45</v>
      </c>
      <c r="J294" s="55">
        <f>1.135*1.36</f>
        <v>1.5436000000000001</v>
      </c>
      <c r="K294" s="8">
        <v>30</v>
      </c>
      <c r="N294" s="8">
        <v>0.91</v>
      </c>
      <c r="O294" s="8">
        <v>0.91</v>
      </c>
      <c r="P294" s="8">
        <v>0.91</v>
      </c>
      <c r="R294" s="8">
        <f t="shared" si="91"/>
        <v>42.140280000000004</v>
      </c>
      <c r="S294" s="8">
        <f t="shared" si="92"/>
        <v>42.140280000000004</v>
      </c>
      <c r="T294" s="8">
        <f t="shared" si="93"/>
        <v>42.140280000000004</v>
      </c>
      <c r="V294" s="13">
        <v>12.3</v>
      </c>
      <c r="W294" s="13">
        <v>16.809999999999999</v>
      </c>
      <c r="X294" s="13">
        <v>25.09</v>
      </c>
    </row>
    <row r="295" spans="1:24" ht="176" x14ac:dyDescent="0.2">
      <c r="A295" s="9" t="s">
        <v>19</v>
      </c>
      <c r="B295" s="10" t="s">
        <v>434</v>
      </c>
      <c r="C295" s="8">
        <v>1</v>
      </c>
      <c r="D295" s="11" t="s">
        <v>36</v>
      </c>
      <c r="E295" s="12">
        <v>38</v>
      </c>
      <c r="F295" s="12">
        <v>38</v>
      </c>
      <c r="G295" s="8">
        <v>22</v>
      </c>
      <c r="H295" s="8">
        <v>34</v>
      </c>
      <c r="I295" s="8">
        <v>45</v>
      </c>
      <c r="J295" s="55">
        <f>1.135*1.66</f>
        <v>1.8840999999999999</v>
      </c>
      <c r="K295" s="8">
        <v>30</v>
      </c>
      <c r="N295" s="8">
        <v>0.91</v>
      </c>
      <c r="O295" s="8">
        <v>0.91</v>
      </c>
      <c r="P295" s="8">
        <v>0.91</v>
      </c>
      <c r="R295" s="8">
        <f t="shared" si="91"/>
        <v>51.435929999999999</v>
      </c>
      <c r="S295" s="8">
        <f t="shared" si="92"/>
        <v>51.435929999999999</v>
      </c>
      <c r="T295" s="8">
        <f t="shared" si="93"/>
        <v>51.435929999999999</v>
      </c>
      <c r="V295" s="13">
        <v>12.3</v>
      </c>
      <c r="W295" s="13">
        <v>16.809999999999999</v>
      </c>
      <c r="X295" s="13">
        <v>25.09</v>
      </c>
    </row>
    <row r="296" spans="1:24" ht="176" x14ac:dyDescent="0.2">
      <c r="A296" s="9" t="s">
        <v>20</v>
      </c>
      <c r="B296" s="10" t="s">
        <v>435</v>
      </c>
      <c r="C296" s="8">
        <v>1</v>
      </c>
      <c r="D296" s="11" t="s">
        <v>36</v>
      </c>
      <c r="E296" s="12">
        <v>35</v>
      </c>
      <c r="F296" s="12">
        <v>35</v>
      </c>
      <c r="G296" s="8">
        <v>22</v>
      </c>
      <c r="H296" s="8">
        <v>34</v>
      </c>
      <c r="I296" s="8">
        <v>45</v>
      </c>
      <c r="J296" s="55">
        <f>1.248*0.685</f>
        <v>0.85488000000000008</v>
      </c>
      <c r="K296" s="8">
        <v>30</v>
      </c>
      <c r="N296" s="8">
        <v>0.91</v>
      </c>
      <c r="O296" s="8">
        <v>0.91</v>
      </c>
      <c r="P296" s="8">
        <v>0.91</v>
      </c>
      <c r="R296" s="8">
        <f t="shared" si="91"/>
        <v>23.338224000000004</v>
      </c>
      <c r="S296" s="8">
        <f t="shared" si="92"/>
        <v>23.338224000000004</v>
      </c>
      <c r="T296" s="8">
        <f t="shared" si="93"/>
        <v>23.338224000000004</v>
      </c>
      <c r="V296" s="13">
        <v>12.3</v>
      </c>
      <c r="W296" s="13">
        <v>16.809999999999999</v>
      </c>
      <c r="X296" s="13">
        <v>25.09</v>
      </c>
    </row>
    <row r="297" spans="1:24" ht="176" x14ac:dyDescent="0.2">
      <c r="A297" s="9" t="s">
        <v>21</v>
      </c>
      <c r="B297" s="10" t="s">
        <v>436</v>
      </c>
      <c r="C297" s="8">
        <v>2</v>
      </c>
      <c r="D297" s="11" t="s">
        <v>36</v>
      </c>
      <c r="E297" s="12">
        <v>38</v>
      </c>
      <c r="F297" s="12">
        <v>76</v>
      </c>
      <c r="G297" s="8">
        <v>22</v>
      </c>
      <c r="H297" s="8">
        <v>34</v>
      </c>
      <c r="I297" s="8">
        <v>45</v>
      </c>
      <c r="J297" s="55">
        <f>1.248*1.21*2</f>
        <v>3.0201599999999997</v>
      </c>
      <c r="K297" s="13">
        <v>30</v>
      </c>
      <c r="L297" s="13"/>
      <c r="N297" s="8">
        <v>0.91</v>
      </c>
      <c r="O297" s="8">
        <v>0.91</v>
      </c>
      <c r="P297" s="8">
        <v>0.91</v>
      </c>
      <c r="R297" s="8">
        <f t="shared" si="91"/>
        <v>82.450367999999997</v>
      </c>
      <c r="S297" s="8">
        <f t="shared" si="92"/>
        <v>82.450367999999997</v>
      </c>
      <c r="T297" s="8">
        <f t="shared" si="93"/>
        <v>82.450367999999997</v>
      </c>
      <c r="V297" s="13">
        <v>12.3</v>
      </c>
      <c r="W297" s="13">
        <v>16.809999999999999</v>
      </c>
      <c r="X297" s="13">
        <v>25.09</v>
      </c>
    </row>
    <row r="298" spans="1:24" ht="64" x14ac:dyDescent="0.2">
      <c r="A298" s="9" t="s">
        <v>6</v>
      </c>
      <c r="B298" s="10" t="s">
        <v>437</v>
      </c>
      <c r="C298" s="8">
        <v>9</v>
      </c>
      <c r="D298" s="11" t="s">
        <v>36</v>
      </c>
      <c r="E298" s="12">
        <v>38</v>
      </c>
      <c r="F298" s="12">
        <v>342</v>
      </c>
      <c r="G298" s="8">
        <v>22</v>
      </c>
      <c r="H298" s="8">
        <v>34</v>
      </c>
      <c r="I298" s="8">
        <v>45</v>
      </c>
      <c r="J298" s="55">
        <f>1.248*1.21*9</f>
        <v>13.590719999999999</v>
      </c>
      <c r="K298" s="13">
        <v>30</v>
      </c>
      <c r="L298" s="13"/>
      <c r="N298" s="8">
        <v>0.91</v>
      </c>
      <c r="O298" s="8">
        <v>0.91</v>
      </c>
      <c r="P298" s="8">
        <v>0.91</v>
      </c>
      <c r="R298" s="8">
        <f t="shared" si="91"/>
        <v>371.026656</v>
      </c>
      <c r="S298" s="8">
        <f t="shared" si="92"/>
        <v>371.026656</v>
      </c>
      <c r="T298" s="8">
        <f t="shared" si="93"/>
        <v>371.026656</v>
      </c>
      <c r="V298" s="13">
        <v>12.3</v>
      </c>
      <c r="W298" s="13">
        <v>16.809999999999999</v>
      </c>
      <c r="X298" s="13">
        <v>25.09</v>
      </c>
    </row>
    <row r="299" spans="1:24" ht="64" x14ac:dyDescent="0.2">
      <c r="A299" s="9" t="s">
        <v>9</v>
      </c>
      <c r="B299" s="10" t="s">
        <v>438</v>
      </c>
      <c r="C299" s="8">
        <v>6</v>
      </c>
      <c r="D299" s="11" t="s">
        <v>36</v>
      </c>
      <c r="E299" s="12">
        <v>38</v>
      </c>
      <c r="F299" s="12">
        <v>228</v>
      </c>
      <c r="G299" s="8">
        <v>22</v>
      </c>
      <c r="H299" s="8">
        <v>34</v>
      </c>
      <c r="I299" s="8">
        <v>45</v>
      </c>
      <c r="J299" s="55">
        <f>1.248*1.21*6</f>
        <v>9.0604799999999983</v>
      </c>
      <c r="K299" s="13">
        <v>30</v>
      </c>
      <c r="L299" s="13"/>
      <c r="N299" s="8">
        <v>0.91</v>
      </c>
      <c r="O299" s="8">
        <v>0.91</v>
      </c>
      <c r="P299" s="8">
        <v>0.91</v>
      </c>
      <c r="R299" s="8">
        <f t="shared" si="91"/>
        <v>247.35110399999996</v>
      </c>
      <c r="S299" s="8">
        <f t="shared" si="92"/>
        <v>247.35110399999996</v>
      </c>
      <c r="T299" s="8">
        <f t="shared" si="93"/>
        <v>247.35110399999996</v>
      </c>
      <c r="V299" s="13">
        <v>12.3</v>
      </c>
      <c r="W299" s="13">
        <v>16.809999999999999</v>
      </c>
      <c r="X299" s="13">
        <v>25.09</v>
      </c>
    </row>
    <row r="300" spans="1:24" ht="80" x14ac:dyDescent="0.2">
      <c r="A300" s="9" t="s">
        <v>10</v>
      </c>
      <c r="B300" s="10" t="s">
        <v>439</v>
      </c>
      <c r="C300" s="8">
        <v>8</v>
      </c>
      <c r="D300" s="11" t="s">
        <v>36</v>
      </c>
      <c r="E300" s="12">
        <v>38</v>
      </c>
      <c r="F300" s="12">
        <v>304</v>
      </c>
      <c r="G300" s="8">
        <v>22</v>
      </c>
      <c r="H300" s="8">
        <v>34</v>
      </c>
      <c r="I300" s="8">
        <v>45</v>
      </c>
      <c r="J300" s="55">
        <f>1.248*1.21*8</f>
        <v>12.080639999999999</v>
      </c>
      <c r="K300" s="13">
        <v>30</v>
      </c>
      <c r="L300" s="13"/>
      <c r="N300" s="8">
        <v>0.91</v>
      </c>
      <c r="O300" s="8">
        <v>0.91</v>
      </c>
      <c r="P300" s="8">
        <v>0.91</v>
      </c>
      <c r="R300" s="8">
        <f t="shared" si="91"/>
        <v>329.80147199999999</v>
      </c>
      <c r="S300" s="8">
        <f t="shared" si="92"/>
        <v>329.80147199999999</v>
      </c>
      <c r="T300" s="8">
        <f t="shared" si="93"/>
        <v>329.80147199999999</v>
      </c>
      <c r="V300" s="13">
        <v>12.3</v>
      </c>
      <c r="W300" s="13">
        <v>16.809999999999999</v>
      </c>
      <c r="X300" s="13">
        <v>25.09</v>
      </c>
    </row>
    <row r="301" spans="1:24" ht="48" x14ac:dyDescent="0.2">
      <c r="A301" s="9" t="s">
        <v>11</v>
      </c>
      <c r="B301" s="10" t="s">
        <v>440</v>
      </c>
      <c r="C301" s="8">
        <v>1</v>
      </c>
      <c r="D301" s="11" t="s">
        <v>36</v>
      </c>
      <c r="E301" s="12">
        <v>38</v>
      </c>
      <c r="F301" s="12">
        <v>38</v>
      </c>
      <c r="G301" s="8">
        <v>22</v>
      </c>
      <c r="H301" s="8">
        <v>34</v>
      </c>
      <c r="I301" s="8">
        <v>45</v>
      </c>
      <c r="J301" s="55">
        <f>1.248*1.21</f>
        <v>1.5100799999999999</v>
      </c>
      <c r="K301" s="13">
        <v>30</v>
      </c>
      <c r="L301" s="13"/>
      <c r="N301" s="8">
        <v>0.91</v>
      </c>
      <c r="O301" s="8">
        <v>0.91</v>
      </c>
      <c r="P301" s="8">
        <v>0.91</v>
      </c>
      <c r="R301" s="8">
        <f t="shared" si="91"/>
        <v>41.225183999999999</v>
      </c>
      <c r="S301" s="8">
        <f t="shared" si="92"/>
        <v>41.225183999999999</v>
      </c>
      <c r="T301" s="8">
        <f t="shared" si="93"/>
        <v>41.225183999999999</v>
      </c>
      <c r="V301" s="13">
        <v>12.3</v>
      </c>
      <c r="W301" s="13">
        <v>16.809999999999999</v>
      </c>
      <c r="X301" s="13">
        <v>25.09</v>
      </c>
    </row>
    <row r="302" spans="1:24" ht="64" x14ac:dyDescent="0.2">
      <c r="A302" s="9" t="s">
        <v>12</v>
      </c>
      <c r="B302" s="10" t="s">
        <v>441</v>
      </c>
      <c r="C302" s="8">
        <v>2</v>
      </c>
      <c r="D302" s="11" t="s">
        <v>36</v>
      </c>
      <c r="E302" s="12">
        <v>38</v>
      </c>
      <c r="F302" s="12">
        <v>76</v>
      </c>
      <c r="G302" s="8">
        <v>22</v>
      </c>
      <c r="H302" s="8">
        <v>34</v>
      </c>
      <c r="I302" s="8">
        <v>45</v>
      </c>
      <c r="J302" s="55">
        <f>1.36*1.21*2</f>
        <v>3.2912000000000003</v>
      </c>
      <c r="K302" s="13">
        <v>30</v>
      </c>
      <c r="L302" s="13"/>
      <c r="N302" s="8">
        <v>0.91</v>
      </c>
      <c r="O302" s="8">
        <v>0.91</v>
      </c>
      <c r="P302" s="8">
        <v>0.91</v>
      </c>
      <c r="R302" s="8">
        <f t="shared" si="91"/>
        <v>89.849760000000018</v>
      </c>
      <c r="S302" s="8">
        <f t="shared" si="92"/>
        <v>89.849760000000018</v>
      </c>
      <c r="T302" s="8">
        <f t="shared" si="93"/>
        <v>89.849760000000018</v>
      </c>
      <c r="V302" s="13">
        <v>12.3</v>
      </c>
      <c r="W302" s="13">
        <v>16.809999999999999</v>
      </c>
      <c r="X302" s="13">
        <v>25.09</v>
      </c>
    </row>
    <row r="303" spans="1:24" ht="48" x14ac:dyDescent="0.2">
      <c r="A303" s="9" t="s">
        <v>13</v>
      </c>
      <c r="B303" s="10" t="s">
        <v>442</v>
      </c>
      <c r="C303" s="8">
        <v>1</v>
      </c>
      <c r="D303" s="11" t="s">
        <v>36</v>
      </c>
      <c r="E303" s="12">
        <v>38</v>
      </c>
      <c r="F303" s="12">
        <v>38</v>
      </c>
      <c r="G303" s="8">
        <v>22</v>
      </c>
      <c r="H303" s="8">
        <v>34</v>
      </c>
      <c r="I303" s="8">
        <v>45</v>
      </c>
      <c r="J303" s="55">
        <f>1.36*1.21</f>
        <v>1.6456000000000002</v>
      </c>
      <c r="K303" s="13">
        <v>30</v>
      </c>
      <c r="L303" s="13"/>
      <c r="N303" s="8">
        <v>0.91</v>
      </c>
      <c r="O303" s="8">
        <v>0.91</v>
      </c>
      <c r="P303" s="8">
        <v>0.91</v>
      </c>
      <c r="R303" s="8">
        <f t="shared" si="91"/>
        <v>44.924880000000009</v>
      </c>
      <c r="S303" s="8">
        <f t="shared" si="92"/>
        <v>44.924880000000009</v>
      </c>
      <c r="T303" s="8">
        <f t="shared" si="93"/>
        <v>44.924880000000009</v>
      </c>
      <c r="V303" s="13">
        <v>12.3</v>
      </c>
      <c r="W303" s="13">
        <v>16.809999999999999</v>
      </c>
      <c r="X303" s="13">
        <v>25.09</v>
      </c>
    </row>
    <row r="304" spans="1:24" ht="64" x14ac:dyDescent="0.2">
      <c r="A304" s="9" t="s">
        <v>14</v>
      </c>
      <c r="B304" s="10" t="s">
        <v>443</v>
      </c>
      <c r="C304" s="8">
        <v>1</v>
      </c>
      <c r="D304" s="11" t="s">
        <v>36</v>
      </c>
      <c r="E304" s="12">
        <v>38</v>
      </c>
      <c r="F304" s="12">
        <v>38</v>
      </c>
      <c r="G304" s="8">
        <v>22</v>
      </c>
      <c r="H304" s="8">
        <v>34</v>
      </c>
      <c r="I304" s="8">
        <v>45</v>
      </c>
      <c r="J304" s="55">
        <f>1.698*1.21</f>
        <v>2.0545800000000001</v>
      </c>
      <c r="K304" s="13">
        <v>30</v>
      </c>
      <c r="L304" s="13"/>
      <c r="N304" s="8">
        <v>0.91</v>
      </c>
      <c r="O304" s="8">
        <v>0.91</v>
      </c>
      <c r="P304" s="8">
        <v>0.91</v>
      </c>
      <c r="R304" s="8">
        <f t="shared" si="91"/>
        <v>56.090034000000003</v>
      </c>
      <c r="S304" s="8">
        <f t="shared" si="92"/>
        <v>56.090034000000003</v>
      </c>
      <c r="T304" s="8">
        <f t="shared" si="93"/>
        <v>56.090034000000003</v>
      </c>
      <c r="V304" s="13">
        <v>12.3</v>
      </c>
      <c r="W304" s="13">
        <v>16.809999999999999</v>
      </c>
      <c r="X304" s="13">
        <v>25.09</v>
      </c>
    </row>
    <row r="305" spans="1:24" ht="64" x14ac:dyDescent="0.2">
      <c r="A305" s="9" t="s">
        <v>15</v>
      </c>
      <c r="B305" s="10" t="s">
        <v>444</v>
      </c>
      <c r="C305" s="8">
        <v>1</v>
      </c>
      <c r="D305" s="11" t="s">
        <v>36</v>
      </c>
      <c r="E305" s="12">
        <v>38</v>
      </c>
      <c r="F305" s="12">
        <v>38</v>
      </c>
      <c r="G305" s="8">
        <v>22</v>
      </c>
      <c r="H305" s="8">
        <v>34</v>
      </c>
      <c r="I305" s="8">
        <v>45</v>
      </c>
      <c r="J305" s="55">
        <f>1.698*1.21</f>
        <v>2.0545800000000001</v>
      </c>
      <c r="K305" s="13">
        <v>30</v>
      </c>
      <c r="L305" s="13"/>
      <c r="N305" s="8">
        <v>0.91</v>
      </c>
      <c r="O305" s="8">
        <v>0.91</v>
      </c>
      <c r="P305" s="8">
        <v>0.91</v>
      </c>
      <c r="R305" s="8">
        <f t="shared" si="91"/>
        <v>56.090034000000003</v>
      </c>
      <c r="S305" s="8">
        <f t="shared" si="92"/>
        <v>56.090034000000003</v>
      </c>
      <c r="T305" s="8">
        <f t="shared" si="93"/>
        <v>56.090034000000003</v>
      </c>
      <c r="V305" s="13">
        <v>12.3</v>
      </c>
      <c r="W305" s="13">
        <v>16.809999999999999</v>
      </c>
      <c r="X305" s="13">
        <v>25.09</v>
      </c>
    </row>
    <row r="306" spans="1:24" ht="48" x14ac:dyDescent="0.2">
      <c r="A306" s="9" t="s">
        <v>16</v>
      </c>
      <c r="B306" s="10" t="s">
        <v>445</v>
      </c>
      <c r="C306" s="8">
        <v>1</v>
      </c>
      <c r="D306" s="11" t="s">
        <v>36</v>
      </c>
      <c r="E306" s="12">
        <v>38</v>
      </c>
      <c r="F306" s="12">
        <v>38</v>
      </c>
      <c r="G306" s="8">
        <v>22</v>
      </c>
      <c r="H306" s="8">
        <v>34</v>
      </c>
      <c r="I306" s="8">
        <v>45</v>
      </c>
      <c r="J306" s="55">
        <f>1.81*1.21</f>
        <v>2.1901000000000002</v>
      </c>
      <c r="K306" s="13">
        <v>30</v>
      </c>
      <c r="L306" s="13"/>
      <c r="N306" s="8">
        <v>0.91</v>
      </c>
      <c r="O306" s="8">
        <v>0.91</v>
      </c>
      <c r="P306" s="8">
        <v>0.91</v>
      </c>
      <c r="R306" s="8">
        <f t="shared" si="91"/>
        <v>59.789730000000006</v>
      </c>
      <c r="S306" s="8">
        <f t="shared" si="92"/>
        <v>59.789730000000006</v>
      </c>
      <c r="T306" s="8">
        <f t="shared" si="93"/>
        <v>59.789730000000006</v>
      </c>
      <c r="V306" s="13">
        <v>12.3</v>
      </c>
      <c r="W306" s="13">
        <v>16.809999999999999</v>
      </c>
      <c r="X306" s="13">
        <v>25.09</v>
      </c>
    </row>
    <row r="307" spans="1:24" ht="48" x14ac:dyDescent="0.2">
      <c r="A307" s="9" t="s">
        <v>17</v>
      </c>
      <c r="B307" s="10" t="s">
        <v>446</v>
      </c>
      <c r="C307" s="8">
        <v>1</v>
      </c>
      <c r="D307" s="11" t="s">
        <v>36</v>
      </c>
      <c r="E307" s="12">
        <v>38</v>
      </c>
      <c r="F307" s="12">
        <v>38</v>
      </c>
      <c r="G307" s="8">
        <v>22</v>
      </c>
      <c r="H307" s="8">
        <v>34</v>
      </c>
      <c r="I307" s="8">
        <v>45</v>
      </c>
      <c r="J307" s="55">
        <f>1.81*1.21</f>
        <v>2.1901000000000002</v>
      </c>
      <c r="K307" s="13">
        <v>30</v>
      </c>
      <c r="L307" s="13"/>
      <c r="N307" s="8">
        <v>0.91</v>
      </c>
      <c r="O307" s="8">
        <v>0.91</v>
      </c>
      <c r="P307" s="8">
        <v>0.91</v>
      </c>
      <c r="R307" s="8">
        <f t="shared" si="91"/>
        <v>59.789730000000006</v>
      </c>
      <c r="S307" s="8">
        <f t="shared" si="92"/>
        <v>59.789730000000006</v>
      </c>
      <c r="T307" s="8">
        <f t="shared" si="93"/>
        <v>59.789730000000006</v>
      </c>
      <c r="V307" s="13">
        <v>12.3</v>
      </c>
      <c r="W307" s="13">
        <v>16.809999999999999</v>
      </c>
      <c r="X307" s="13">
        <v>25.09</v>
      </c>
    </row>
    <row r="308" spans="1:24" ht="64" x14ac:dyDescent="0.2">
      <c r="A308" s="9" t="s">
        <v>18</v>
      </c>
      <c r="B308" s="10" t="s">
        <v>447</v>
      </c>
      <c r="C308" s="8">
        <v>3</v>
      </c>
      <c r="D308" s="11" t="s">
        <v>36</v>
      </c>
      <c r="E308" s="12">
        <v>38</v>
      </c>
      <c r="F308" s="12">
        <v>114</v>
      </c>
      <c r="G308" s="8">
        <v>22</v>
      </c>
      <c r="H308" s="8">
        <v>34</v>
      </c>
      <c r="I308" s="8">
        <v>45</v>
      </c>
      <c r="J308" s="55">
        <f>1.81*1.21*3</f>
        <v>6.5703000000000005</v>
      </c>
      <c r="K308" s="13">
        <v>30</v>
      </c>
      <c r="L308" s="13"/>
      <c r="N308" s="8">
        <v>0.91</v>
      </c>
      <c r="O308" s="8">
        <v>0.91</v>
      </c>
      <c r="P308" s="8">
        <v>0.91</v>
      </c>
      <c r="R308" s="8">
        <f t="shared" si="91"/>
        <v>179.36919000000003</v>
      </c>
      <c r="S308" s="8">
        <f t="shared" si="92"/>
        <v>179.36919000000003</v>
      </c>
      <c r="T308" s="8">
        <f t="shared" si="93"/>
        <v>179.36919000000003</v>
      </c>
      <c r="V308" s="13">
        <v>12.3</v>
      </c>
      <c r="W308" s="13">
        <v>16.809999999999999</v>
      </c>
      <c r="X308" s="13">
        <v>25.09</v>
      </c>
    </row>
    <row r="309" spans="1:24" ht="48" x14ac:dyDescent="0.2">
      <c r="A309" s="9" t="s">
        <v>19</v>
      </c>
      <c r="B309" s="10" t="s">
        <v>448</v>
      </c>
      <c r="C309" s="8">
        <v>1</v>
      </c>
      <c r="D309" s="11" t="s">
        <v>36</v>
      </c>
      <c r="E309" s="12">
        <v>38</v>
      </c>
      <c r="F309" s="12">
        <v>38</v>
      </c>
      <c r="G309" s="8">
        <v>22</v>
      </c>
      <c r="H309" s="8">
        <v>34</v>
      </c>
      <c r="I309" s="8">
        <v>45</v>
      </c>
      <c r="J309" s="55">
        <f>2*1.81*1.21</f>
        <v>4.3802000000000003</v>
      </c>
      <c r="K309" s="13">
        <v>30</v>
      </c>
      <c r="L309" s="13"/>
      <c r="N309" s="8">
        <v>0.91</v>
      </c>
      <c r="O309" s="8">
        <v>0.91</v>
      </c>
      <c r="P309" s="8">
        <v>0.91</v>
      </c>
      <c r="R309" s="8">
        <f t="shared" si="91"/>
        <v>119.57946000000001</v>
      </c>
      <c r="S309" s="8">
        <f t="shared" si="92"/>
        <v>119.57946000000001</v>
      </c>
      <c r="T309" s="8">
        <f t="shared" si="93"/>
        <v>119.57946000000001</v>
      </c>
      <c r="V309" s="13">
        <v>12.3</v>
      </c>
      <c r="W309" s="13">
        <v>16.809999999999999</v>
      </c>
      <c r="X309" s="13">
        <v>25.09</v>
      </c>
    </row>
    <row r="310" spans="1:24" ht="32" x14ac:dyDescent="0.2">
      <c r="A310" s="9" t="s">
        <v>6</v>
      </c>
      <c r="B310" s="10" t="s">
        <v>449</v>
      </c>
      <c r="C310" s="8">
        <v>3</v>
      </c>
      <c r="D310" s="11" t="s">
        <v>36</v>
      </c>
      <c r="E310" s="12">
        <v>585</v>
      </c>
      <c r="F310" s="12">
        <v>1755</v>
      </c>
      <c r="G310" s="8">
        <v>24</v>
      </c>
      <c r="H310" s="8">
        <v>35</v>
      </c>
      <c r="I310" s="8">
        <v>45</v>
      </c>
      <c r="J310" s="55">
        <f>0.55*0.98*3</f>
        <v>1.617</v>
      </c>
      <c r="K310" s="13">
        <v>30</v>
      </c>
      <c r="L310" s="13"/>
      <c r="N310" s="8">
        <v>0.91</v>
      </c>
      <c r="O310" s="8">
        <v>0.91</v>
      </c>
      <c r="P310" s="8">
        <v>0.91</v>
      </c>
      <c r="R310" s="8">
        <f t="shared" si="91"/>
        <v>44.144100000000002</v>
      </c>
      <c r="S310" s="8">
        <f t="shared" si="92"/>
        <v>44.144100000000002</v>
      </c>
      <c r="T310" s="8">
        <f t="shared" si="93"/>
        <v>44.144100000000002</v>
      </c>
      <c r="V310" s="13">
        <v>12.3</v>
      </c>
      <c r="W310" s="13">
        <v>16.809999999999999</v>
      </c>
      <c r="X310" s="13">
        <v>25.09</v>
      </c>
    </row>
    <row r="311" spans="1:24" ht="32" x14ac:dyDescent="0.2">
      <c r="A311" s="9" t="s">
        <v>9</v>
      </c>
      <c r="B311" s="10" t="s">
        <v>450</v>
      </c>
      <c r="C311" s="8">
        <v>6</v>
      </c>
      <c r="D311" s="11" t="s">
        <v>36</v>
      </c>
      <c r="E311" s="12">
        <v>690</v>
      </c>
      <c r="F311" s="12">
        <v>4140</v>
      </c>
      <c r="G311" s="8">
        <v>24</v>
      </c>
      <c r="H311" s="8">
        <v>35</v>
      </c>
      <c r="I311" s="8">
        <v>45</v>
      </c>
      <c r="J311" s="55">
        <f>0.66*1.398*6</f>
        <v>5.5360800000000001</v>
      </c>
      <c r="K311" s="13">
        <v>30</v>
      </c>
      <c r="L311" s="13"/>
      <c r="N311" s="8">
        <v>0.91</v>
      </c>
      <c r="O311" s="8">
        <v>0.91</v>
      </c>
      <c r="P311" s="8">
        <v>0.91</v>
      </c>
      <c r="R311" s="8">
        <f t="shared" si="91"/>
        <v>151.134984</v>
      </c>
      <c r="S311" s="8">
        <f t="shared" si="92"/>
        <v>151.134984</v>
      </c>
      <c r="T311" s="8">
        <f t="shared" si="93"/>
        <v>151.134984</v>
      </c>
      <c r="V311" s="13">
        <v>12.3</v>
      </c>
      <c r="W311" s="13">
        <v>16.809999999999999</v>
      </c>
      <c r="X311" s="13">
        <v>25.09</v>
      </c>
    </row>
    <row r="312" spans="1:24" ht="48" x14ac:dyDescent="0.2">
      <c r="A312" s="9" t="s">
        <v>10</v>
      </c>
      <c r="B312" s="10" t="s">
        <v>451</v>
      </c>
      <c r="C312" s="8">
        <v>1</v>
      </c>
      <c r="D312" s="11" t="s">
        <v>36</v>
      </c>
      <c r="E312" s="12">
        <v>1438</v>
      </c>
      <c r="F312" s="12">
        <v>1438</v>
      </c>
      <c r="G312" s="8">
        <v>24</v>
      </c>
      <c r="H312" s="8">
        <v>35</v>
      </c>
      <c r="I312" s="8">
        <v>45</v>
      </c>
      <c r="J312" s="55">
        <f>0.669*0.669</f>
        <v>0.44756100000000004</v>
      </c>
      <c r="K312" s="13">
        <v>30</v>
      </c>
      <c r="L312" s="13"/>
      <c r="N312" s="8">
        <v>0.91</v>
      </c>
      <c r="O312" s="8">
        <v>0.91</v>
      </c>
      <c r="P312" s="8">
        <v>0.91</v>
      </c>
      <c r="R312" s="8">
        <f t="shared" si="91"/>
        <v>12.218415300000002</v>
      </c>
      <c r="S312" s="8">
        <f t="shared" si="92"/>
        <v>12.218415300000002</v>
      </c>
      <c r="T312" s="8">
        <f t="shared" si="93"/>
        <v>12.218415300000002</v>
      </c>
      <c r="V312" s="13">
        <v>12.3</v>
      </c>
      <c r="W312" s="13">
        <v>16.809999999999999</v>
      </c>
      <c r="X312" s="13">
        <v>25.09</v>
      </c>
    </row>
    <row r="313" spans="1:24" ht="32" x14ac:dyDescent="0.2">
      <c r="A313" s="9" t="s">
        <v>11</v>
      </c>
      <c r="B313" s="10" t="s">
        <v>452</v>
      </c>
      <c r="C313" s="8">
        <v>1</v>
      </c>
      <c r="D313" s="11" t="s">
        <v>36</v>
      </c>
      <c r="E313" s="12">
        <v>165</v>
      </c>
      <c r="F313" s="12">
        <v>165</v>
      </c>
      <c r="G313" s="8">
        <v>24</v>
      </c>
      <c r="H313" s="8">
        <v>35</v>
      </c>
      <c r="I313" s="8">
        <v>45</v>
      </c>
      <c r="J313" s="55">
        <f>2.9*1.02</f>
        <v>2.9579999999999997</v>
      </c>
      <c r="K313" s="13">
        <v>30</v>
      </c>
      <c r="L313" s="13"/>
      <c r="N313" s="8">
        <v>0.91</v>
      </c>
      <c r="O313" s="8">
        <v>0.91</v>
      </c>
      <c r="P313" s="8">
        <v>0.91</v>
      </c>
      <c r="R313" s="8">
        <f t="shared" si="91"/>
        <v>80.753399999999999</v>
      </c>
      <c r="S313" s="8">
        <f t="shared" si="92"/>
        <v>80.753399999999999</v>
      </c>
      <c r="T313" s="8">
        <f t="shared" si="93"/>
        <v>80.753399999999999</v>
      </c>
      <c r="V313" s="13">
        <v>12.3</v>
      </c>
      <c r="W313" s="13">
        <v>16.809999999999999</v>
      </c>
      <c r="X313" s="13">
        <v>25.09</v>
      </c>
    </row>
    <row r="314" spans="1:24" ht="80" x14ac:dyDescent="0.2">
      <c r="A314" s="9" t="s">
        <v>12</v>
      </c>
      <c r="B314" s="10" t="s">
        <v>453</v>
      </c>
      <c r="C314" s="8">
        <v>1</v>
      </c>
      <c r="D314" s="11" t="s">
        <v>36</v>
      </c>
      <c r="E314" s="12">
        <v>1183.1500000000001</v>
      </c>
      <c r="F314" s="12">
        <v>1183.1500000000001</v>
      </c>
      <c r="G314" s="8">
        <v>22</v>
      </c>
      <c r="H314" s="8">
        <v>32</v>
      </c>
      <c r="I314" s="8">
        <v>41</v>
      </c>
      <c r="J314" s="55">
        <f>0.02*1.81*2.11</f>
        <v>7.6382000000000005E-2</v>
      </c>
      <c r="K314" s="8">
        <v>1430</v>
      </c>
      <c r="N314" s="8">
        <v>3.1</v>
      </c>
      <c r="O314" s="8">
        <v>3.1</v>
      </c>
      <c r="P314" s="8">
        <v>3.1</v>
      </c>
      <c r="R314" s="8">
        <f t="shared" si="91"/>
        <v>338.601406</v>
      </c>
      <c r="S314" s="8">
        <f t="shared" si="92"/>
        <v>338.601406</v>
      </c>
      <c r="T314" s="8">
        <f t="shared" si="93"/>
        <v>338.601406</v>
      </c>
      <c r="V314" s="13">
        <f>W314*0.7</f>
        <v>54.04</v>
      </c>
      <c r="W314" s="13">
        <v>77.2</v>
      </c>
      <c r="X314" s="13">
        <f>W314*1.3</f>
        <v>100.36000000000001</v>
      </c>
    </row>
    <row r="315" spans="1:24" ht="64" x14ac:dyDescent="0.2">
      <c r="A315" s="9" t="s">
        <v>13</v>
      </c>
      <c r="B315" s="10" t="s">
        <v>454</v>
      </c>
      <c r="C315" s="8">
        <v>1</v>
      </c>
      <c r="D315" s="11" t="s">
        <v>36</v>
      </c>
      <c r="E315" s="12">
        <v>1183.1500000000001</v>
      </c>
      <c r="F315" s="12">
        <v>1183.1500000000001</v>
      </c>
      <c r="G315" s="8">
        <v>22</v>
      </c>
      <c r="H315" s="8">
        <v>32</v>
      </c>
      <c r="I315" s="8">
        <v>41</v>
      </c>
      <c r="J315" s="55">
        <f>0.02*2.73*2.11</f>
        <v>0.115206</v>
      </c>
      <c r="K315" s="8">
        <v>1430</v>
      </c>
      <c r="N315" s="8">
        <v>3.1</v>
      </c>
      <c r="O315" s="8">
        <v>3.1</v>
      </c>
      <c r="P315" s="8">
        <v>3.1</v>
      </c>
      <c r="R315" s="8">
        <f t="shared" ref="R315:R318" si="94">N315*K315*J315</f>
        <v>510.70819800000004</v>
      </c>
      <c r="S315" s="8">
        <f t="shared" ref="S315:S318" si="95">O315*K315*J315</f>
        <v>510.70819800000004</v>
      </c>
      <c r="T315" s="8">
        <f t="shared" ref="T315:T318" si="96">P315*K315*J315</f>
        <v>510.70819800000004</v>
      </c>
      <c r="V315" s="13">
        <f t="shared" ref="V315:V317" si="97">W315*0.7</f>
        <v>54.74</v>
      </c>
      <c r="W315" s="13">
        <v>78.2</v>
      </c>
      <c r="X315" s="13">
        <f t="shared" ref="X315:X317" si="98">W315*1.3</f>
        <v>101.66000000000001</v>
      </c>
    </row>
    <row r="316" spans="1:24" ht="80" x14ac:dyDescent="0.2">
      <c r="A316" s="9" t="s">
        <v>14</v>
      </c>
      <c r="B316" s="10" t="s">
        <v>455</v>
      </c>
      <c r="C316" s="8">
        <v>2</v>
      </c>
      <c r="D316" s="11" t="s">
        <v>36</v>
      </c>
      <c r="E316" s="12">
        <v>1183.1500000000001</v>
      </c>
      <c r="F316" s="12">
        <v>2366.3000000000002</v>
      </c>
      <c r="G316" s="8">
        <v>22</v>
      </c>
      <c r="H316" s="8">
        <v>32</v>
      </c>
      <c r="I316" s="8">
        <v>41</v>
      </c>
      <c r="J316" s="55">
        <f>0.02*2.94*2.11*2</f>
        <v>0.24813599999999997</v>
      </c>
      <c r="K316" s="8">
        <v>1430</v>
      </c>
      <c r="N316" s="8">
        <v>3.1</v>
      </c>
      <c r="O316" s="8">
        <v>3.1</v>
      </c>
      <c r="P316" s="8">
        <v>3.1</v>
      </c>
      <c r="R316" s="8">
        <f t="shared" si="94"/>
        <v>1099.9868879999999</v>
      </c>
      <c r="S316" s="8">
        <f t="shared" si="95"/>
        <v>1099.9868879999999</v>
      </c>
      <c r="T316" s="8">
        <f t="shared" si="96"/>
        <v>1099.9868879999999</v>
      </c>
      <c r="V316" s="13">
        <f t="shared" si="97"/>
        <v>55.44</v>
      </c>
      <c r="W316" s="13">
        <v>79.2</v>
      </c>
      <c r="X316" s="13">
        <f t="shared" si="98"/>
        <v>102.96000000000001</v>
      </c>
    </row>
    <row r="317" spans="1:24" ht="96" x14ac:dyDescent="0.2">
      <c r="A317" s="9" t="s">
        <v>6</v>
      </c>
      <c r="B317" s="10" t="s">
        <v>456</v>
      </c>
      <c r="C317" s="8">
        <v>6</v>
      </c>
      <c r="D317" s="11" t="s">
        <v>36</v>
      </c>
      <c r="E317" s="12">
        <v>1291.98</v>
      </c>
      <c r="F317" s="12">
        <v>7751.88</v>
      </c>
      <c r="G317" s="8">
        <v>22</v>
      </c>
      <c r="H317" s="8">
        <v>32</v>
      </c>
      <c r="I317" s="8">
        <v>41</v>
      </c>
      <c r="J317" s="55">
        <f>0.02*2.94*2.11*6</f>
        <v>0.74440799999999996</v>
      </c>
      <c r="K317" s="8">
        <v>1430</v>
      </c>
      <c r="N317" s="8">
        <v>3.1</v>
      </c>
      <c r="O317" s="8">
        <v>3.1</v>
      </c>
      <c r="P317" s="8">
        <v>3.1</v>
      </c>
      <c r="R317" s="8">
        <f t="shared" si="94"/>
        <v>3299.9606639999997</v>
      </c>
      <c r="S317" s="8">
        <f t="shared" si="95"/>
        <v>3299.9606639999997</v>
      </c>
      <c r="T317" s="8">
        <f t="shared" si="96"/>
        <v>3299.9606639999997</v>
      </c>
      <c r="V317" s="13">
        <f t="shared" si="97"/>
        <v>56.14</v>
      </c>
      <c r="W317" s="13">
        <v>80.2</v>
      </c>
      <c r="X317" s="13">
        <f t="shared" si="98"/>
        <v>104.26</v>
      </c>
    </row>
    <row r="318" spans="1:24" ht="64" x14ac:dyDescent="0.2">
      <c r="A318" s="9" t="s">
        <v>9</v>
      </c>
      <c r="B318" s="10" t="s">
        <v>457</v>
      </c>
      <c r="C318" s="8">
        <v>1</v>
      </c>
      <c r="D318" s="11" t="s">
        <v>36</v>
      </c>
      <c r="E318" s="12">
        <v>95</v>
      </c>
      <c r="F318" s="12">
        <v>95</v>
      </c>
      <c r="G318" s="8">
        <v>25</v>
      </c>
      <c r="H318" s="8">
        <v>39</v>
      </c>
      <c r="I318" s="8">
        <v>50</v>
      </c>
      <c r="J318" s="55">
        <f>0.035*1.023*2.11</f>
        <v>7.5548550000000006E-2</v>
      </c>
      <c r="K318" s="8">
        <v>700</v>
      </c>
      <c r="N318" s="8">
        <v>0.72</v>
      </c>
      <c r="O318" s="8">
        <v>0.72</v>
      </c>
      <c r="P318" s="8">
        <v>0.72</v>
      </c>
      <c r="R318" s="8">
        <f t="shared" si="94"/>
        <v>38.076469200000005</v>
      </c>
      <c r="S318" s="8">
        <f t="shared" si="95"/>
        <v>38.076469200000005</v>
      </c>
      <c r="T318" s="8">
        <f t="shared" si="96"/>
        <v>38.076469200000005</v>
      </c>
      <c r="V318" s="13">
        <v>0.33</v>
      </c>
      <c r="W318" s="13">
        <v>5.38</v>
      </c>
      <c r="X318" s="13">
        <v>16</v>
      </c>
    </row>
    <row r="319" spans="1:24" ht="80" x14ac:dyDescent="0.2">
      <c r="A319" s="9" t="s">
        <v>10</v>
      </c>
      <c r="B319" s="10" t="s">
        <v>458</v>
      </c>
      <c r="C319" s="8">
        <v>1</v>
      </c>
      <c r="D319" s="11" t="s">
        <v>36</v>
      </c>
      <c r="E319" s="12">
        <v>95</v>
      </c>
      <c r="F319" s="12">
        <v>95</v>
      </c>
      <c r="G319" s="8">
        <v>25</v>
      </c>
      <c r="H319" s="8">
        <v>39</v>
      </c>
      <c r="I319" s="8">
        <v>50</v>
      </c>
      <c r="J319" s="55">
        <f>0.035*1.023*2.11</f>
        <v>7.5548550000000006E-2</v>
      </c>
      <c r="K319" s="8">
        <v>700</v>
      </c>
      <c r="N319" s="8">
        <v>0.72</v>
      </c>
      <c r="O319" s="8">
        <v>0.72</v>
      </c>
      <c r="P319" s="8">
        <v>0.72</v>
      </c>
      <c r="R319" s="8">
        <f t="shared" ref="R319:R325" si="99">N319*K319*J319</f>
        <v>38.076469200000005</v>
      </c>
      <c r="S319" s="8">
        <f t="shared" ref="S319:S325" si="100">O319*K319*J319</f>
        <v>38.076469200000005</v>
      </c>
      <c r="T319" s="8">
        <f t="shared" ref="T319:T325" si="101">P319*K319*J319</f>
        <v>38.076469200000005</v>
      </c>
      <c r="V319" s="13">
        <v>0.33</v>
      </c>
      <c r="W319" s="13">
        <v>5.38</v>
      </c>
      <c r="X319" s="13">
        <v>16</v>
      </c>
    </row>
    <row r="320" spans="1:24" ht="64" x14ac:dyDescent="0.2">
      <c r="A320" s="9" t="s">
        <v>11</v>
      </c>
      <c r="B320" s="10" t="s">
        <v>459</v>
      </c>
      <c r="C320" s="8">
        <v>1</v>
      </c>
      <c r="D320" s="11" t="s">
        <v>36</v>
      </c>
      <c r="E320" s="12">
        <v>95</v>
      </c>
      <c r="F320" s="12">
        <v>95</v>
      </c>
      <c r="G320" s="8">
        <v>25</v>
      </c>
      <c r="H320" s="8">
        <v>39</v>
      </c>
      <c r="I320" s="8">
        <v>50</v>
      </c>
      <c r="J320" s="55">
        <f>0.035*1.023*2.11</f>
        <v>7.5548550000000006E-2</v>
      </c>
      <c r="K320" s="8">
        <v>700</v>
      </c>
      <c r="N320" s="8">
        <v>0.72</v>
      </c>
      <c r="O320" s="8">
        <v>0.72</v>
      </c>
      <c r="P320" s="8">
        <v>0.72</v>
      </c>
      <c r="R320" s="8">
        <f t="shared" si="99"/>
        <v>38.076469200000005</v>
      </c>
      <c r="S320" s="8">
        <f t="shared" si="100"/>
        <v>38.076469200000005</v>
      </c>
      <c r="T320" s="8">
        <f t="shared" si="101"/>
        <v>38.076469200000005</v>
      </c>
      <c r="V320" s="13">
        <v>0.33</v>
      </c>
      <c r="W320" s="13">
        <v>5.38</v>
      </c>
      <c r="X320" s="13">
        <v>16</v>
      </c>
    </row>
    <row r="321" spans="1:24" ht="64" x14ac:dyDescent="0.2">
      <c r="A321" s="9" t="s">
        <v>12</v>
      </c>
      <c r="B321" s="10" t="s">
        <v>460</v>
      </c>
      <c r="C321" s="8">
        <v>1</v>
      </c>
      <c r="D321" s="11" t="s">
        <v>36</v>
      </c>
      <c r="E321" s="12">
        <v>95</v>
      </c>
      <c r="F321" s="12">
        <v>95</v>
      </c>
      <c r="G321" s="8">
        <v>25</v>
      </c>
      <c r="H321" s="8">
        <v>39</v>
      </c>
      <c r="I321" s="8">
        <v>50</v>
      </c>
      <c r="J321" s="55">
        <f>0.035*1.023*2.11</f>
        <v>7.5548550000000006E-2</v>
      </c>
      <c r="K321" s="8">
        <v>700</v>
      </c>
      <c r="N321" s="8">
        <v>0.72</v>
      </c>
      <c r="O321" s="8">
        <v>0.72</v>
      </c>
      <c r="P321" s="8">
        <v>0.72</v>
      </c>
      <c r="R321" s="8">
        <f t="shared" si="99"/>
        <v>38.076469200000005</v>
      </c>
      <c r="S321" s="8">
        <f t="shared" si="100"/>
        <v>38.076469200000005</v>
      </c>
      <c r="T321" s="8">
        <f t="shared" si="101"/>
        <v>38.076469200000005</v>
      </c>
      <c r="V321" s="13">
        <v>0.33</v>
      </c>
      <c r="W321" s="13">
        <v>5.38</v>
      </c>
      <c r="X321" s="13">
        <v>16</v>
      </c>
    </row>
    <row r="322" spans="1:24" ht="80" x14ac:dyDescent="0.2">
      <c r="A322" s="9" t="s">
        <v>13</v>
      </c>
      <c r="B322" s="10" t="s">
        <v>461</v>
      </c>
      <c r="C322" s="8">
        <v>1</v>
      </c>
      <c r="D322" s="11" t="s">
        <v>36</v>
      </c>
      <c r="E322" s="12">
        <v>95</v>
      </c>
      <c r="F322" s="12">
        <v>95</v>
      </c>
      <c r="G322" s="8">
        <v>25</v>
      </c>
      <c r="H322" s="8">
        <v>39</v>
      </c>
      <c r="I322" s="8">
        <v>50</v>
      </c>
      <c r="J322" s="55">
        <f>0.035*1.023*2.11</f>
        <v>7.5548550000000006E-2</v>
      </c>
      <c r="K322" s="8">
        <v>700</v>
      </c>
      <c r="N322" s="8">
        <v>0.72</v>
      </c>
      <c r="O322" s="8">
        <v>0.72</v>
      </c>
      <c r="P322" s="8">
        <v>0.72</v>
      </c>
      <c r="R322" s="8">
        <f t="shared" si="99"/>
        <v>38.076469200000005</v>
      </c>
      <c r="S322" s="8">
        <f t="shared" si="100"/>
        <v>38.076469200000005</v>
      </c>
      <c r="T322" s="8">
        <f t="shared" si="101"/>
        <v>38.076469200000005</v>
      </c>
      <c r="V322" s="13">
        <v>0.33</v>
      </c>
      <c r="W322" s="13">
        <v>5.38</v>
      </c>
      <c r="X322" s="13">
        <v>16</v>
      </c>
    </row>
    <row r="323" spans="1:24" ht="80" x14ac:dyDescent="0.2">
      <c r="A323" s="9" t="s">
        <v>6</v>
      </c>
      <c r="B323" s="10" t="s">
        <v>462</v>
      </c>
      <c r="C323" s="8">
        <v>5</v>
      </c>
      <c r="D323" s="11" t="s">
        <v>36</v>
      </c>
      <c r="E323" s="12">
        <v>638.95000000000005</v>
      </c>
      <c r="F323" s="12">
        <v>3194.75</v>
      </c>
      <c r="G323" s="8">
        <v>25</v>
      </c>
      <c r="H323" s="8">
        <v>39</v>
      </c>
      <c r="I323" s="8">
        <v>50</v>
      </c>
      <c r="J323" s="55">
        <f>0.035*1.023*2.11*5</f>
        <v>0.37774275000000002</v>
      </c>
      <c r="K323" s="8">
        <v>700</v>
      </c>
      <c r="N323" s="8">
        <v>0.72</v>
      </c>
      <c r="O323" s="8">
        <v>0.72</v>
      </c>
      <c r="P323" s="8">
        <v>0.72</v>
      </c>
      <c r="R323" s="8">
        <f t="shared" si="99"/>
        <v>190.38234600000001</v>
      </c>
      <c r="S323" s="8">
        <f t="shared" si="100"/>
        <v>190.38234600000001</v>
      </c>
      <c r="T323" s="8">
        <f t="shared" si="101"/>
        <v>190.38234600000001</v>
      </c>
      <c r="V323" s="13">
        <v>0.33</v>
      </c>
      <c r="W323" s="13">
        <v>5.38</v>
      </c>
      <c r="X323" s="13">
        <v>16</v>
      </c>
    </row>
    <row r="324" spans="1:24" ht="48" x14ac:dyDescent="0.2">
      <c r="A324" s="9" t="s">
        <v>9</v>
      </c>
      <c r="B324" s="10" t="s">
        <v>463</v>
      </c>
      <c r="C324" s="8">
        <v>1</v>
      </c>
      <c r="D324" s="11" t="s">
        <v>36</v>
      </c>
      <c r="E324" s="12">
        <v>95</v>
      </c>
      <c r="F324" s="12">
        <v>95</v>
      </c>
      <c r="G324" s="8">
        <v>25</v>
      </c>
      <c r="H324" s="8">
        <v>39</v>
      </c>
      <c r="I324" s="8">
        <v>50</v>
      </c>
      <c r="J324" s="55">
        <f>0.035*1.023*2.11</f>
        <v>7.5548550000000006E-2</v>
      </c>
      <c r="K324" s="8">
        <v>700</v>
      </c>
      <c r="N324" s="8">
        <v>0.72</v>
      </c>
      <c r="O324" s="8">
        <v>0.72</v>
      </c>
      <c r="P324" s="8">
        <v>0.72</v>
      </c>
      <c r="R324" s="8">
        <f t="shared" si="99"/>
        <v>38.076469200000005</v>
      </c>
      <c r="S324" s="8">
        <f t="shared" si="100"/>
        <v>38.076469200000005</v>
      </c>
      <c r="T324" s="8">
        <f t="shared" si="101"/>
        <v>38.076469200000005</v>
      </c>
      <c r="V324" s="13">
        <v>0.33</v>
      </c>
      <c r="W324" s="13">
        <v>5.38</v>
      </c>
      <c r="X324" s="13">
        <v>16</v>
      </c>
    </row>
    <row r="325" spans="1:24" ht="64" x14ac:dyDescent="0.2">
      <c r="A325" s="9" t="s">
        <v>10</v>
      </c>
      <c r="B325" s="10" t="s">
        <v>464</v>
      </c>
      <c r="C325" s="8">
        <v>2</v>
      </c>
      <c r="D325" s="11" t="s">
        <v>36</v>
      </c>
      <c r="E325" s="12">
        <v>2775.86</v>
      </c>
      <c r="F325" s="12">
        <v>5551.72</v>
      </c>
      <c r="G325" s="8">
        <v>15</v>
      </c>
      <c r="H325" s="8">
        <v>30</v>
      </c>
      <c r="I325" s="8">
        <v>38</v>
      </c>
      <c r="J325" s="55">
        <f>0.035*2.373*2.11*2</f>
        <v>0.35049210000000003</v>
      </c>
      <c r="K325" s="8">
        <v>2700</v>
      </c>
      <c r="N325" s="8">
        <v>1.81</v>
      </c>
      <c r="O325" s="8">
        <v>9.16</v>
      </c>
      <c r="P325" s="8">
        <v>12.79</v>
      </c>
      <c r="R325" s="8">
        <f t="shared" si="99"/>
        <v>1712.8548927000002</v>
      </c>
      <c r="S325" s="8">
        <f t="shared" si="100"/>
        <v>8668.3706172000002</v>
      </c>
      <c r="T325" s="8">
        <f t="shared" si="101"/>
        <v>12103.543689300001</v>
      </c>
      <c r="V325" s="13">
        <v>124</v>
      </c>
      <c r="W325" s="13">
        <v>155</v>
      </c>
      <c r="X325" s="13">
        <v>186</v>
      </c>
    </row>
    <row r="326" spans="1:24" ht="64" x14ac:dyDescent="0.2">
      <c r="A326" s="9" t="s">
        <v>6</v>
      </c>
      <c r="B326" s="10" t="s">
        <v>465</v>
      </c>
      <c r="C326" s="8">
        <v>2</v>
      </c>
      <c r="D326" s="11" t="s">
        <v>36</v>
      </c>
      <c r="E326" s="12">
        <v>3577.66</v>
      </c>
      <c r="F326" s="12">
        <v>7155.32</v>
      </c>
      <c r="G326" s="8">
        <v>15</v>
      </c>
      <c r="H326" s="8">
        <v>30</v>
      </c>
      <c r="I326" s="8">
        <v>38</v>
      </c>
      <c r="J326" s="55">
        <f>0.035*3.61*2.11*2</f>
        <v>0.53319700000000003</v>
      </c>
      <c r="K326" s="8">
        <v>2700</v>
      </c>
      <c r="N326" s="8">
        <v>1.81</v>
      </c>
      <c r="O326" s="8">
        <v>9.16</v>
      </c>
      <c r="P326" s="8">
        <v>12.79</v>
      </c>
      <c r="R326" s="8">
        <f t="shared" ref="R326:R329" si="102">N326*K326*J326</f>
        <v>2605.7337390000002</v>
      </c>
      <c r="S326" s="8">
        <f t="shared" ref="S326:S329" si="103">O326*K326*J326</f>
        <v>13187.028204</v>
      </c>
      <c r="T326" s="8">
        <f t="shared" ref="T326:T329" si="104">P326*K326*J326</f>
        <v>18412.892001</v>
      </c>
      <c r="V326" s="13">
        <v>124</v>
      </c>
      <c r="W326" s="13">
        <v>155</v>
      </c>
      <c r="X326" s="13">
        <v>186</v>
      </c>
    </row>
    <row r="327" spans="1:24" ht="48" x14ac:dyDescent="0.2">
      <c r="A327" s="9" t="s">
        <v>9</v>
      </c>
      <c r="B327" s="10" t="s">
        <v>466</v>
      </c>
      <c r="C327" s="8">
        <v>1</v>
      </c>
      <c r="D327" s="11" t="s">
        <v>36</v>
      </c>
      <c r="E327" s="12">
        <v>2835.32</v>
      </c>
      <c r="F327" s="12">
        <v>2835.32</v>
      </c>
      <c r="G327" s="8">
        <v>15</v>
      </c>
      <c r="H327" s="8">
        <v>30</v>
      </c>
      <c r="I327" s="8">
        <v>38</v>
      </c>
      <c r="J327" s="55">
        <f>0.035*2.598*2.11</f>
        <v>0.19186230000000001</v>
      </c>
      <c r="K327" s="8">
        <v>2700</v>
      </c>
      <c r="N327" s="8">
        <v>1.81</v>
      </c>
      <c r="O327" s="8">
        <v>9.16</v>
      </c>
      <c r="P327" s="8">
        <v>12.79</v>
      </c>
      <c r="R327" s="8">
        <f t="shared" si="102"/>
        <v>937.63106010000001</v>
      </c>
      <c r="S327" s="8">
        <f t="shared" si="103"/>
        <v>4745.1384035999999</v>
      </c>
      <c r="T327" s="8">
        <f t="shared" si="104"/>
        <v>6625.5808059000001</v>
      </c>
      <c r="V327" s="13">
        <v>124</v>
      </c>
      <c r="W327" s="13">
        <v>155</v>
      </c>
      <c r="X327" s="13">
        <v>186</v>
      </c>
    </row>
    <row r="328" spans="1:24" ht="48" x14ac:dyDescent="0.2">
      <c r="A328" s="9" t="s">
        <v>10</v>
      </c>
      <c r="B328" s="10" t="s">
        <v>467</v>
      </c>
      <c r="C328" s="8">
        <v>1</v>
      </c>
      <c r="D328" s="11" t="s">
        <v>36</v>
      </c>
      <c r="E328" s="12">
        <v>1500</v>
      </c>
      <c r="F328" s="12">
        <v>1500</v>
      </c>
      <c r="G328" s="8">
        <v>15</v>
      </c>
      <c r="H328" s="8">
        <v>30</v>
      </c>
      <c r="I328" s="8">
        <v>38</v>
      </c>
      <c r="J328" s="55">
        <f>0.045*2.579*2.194</f>
        <v>0.25462467</v>
      </c>
      <c r="K328" s="8">
        <v>2700</v>
      </c>
      <c r="N328" s="8">
        <v>1.81</v>
      </c>
      <c r="O328" s="8">
        <v>9.16</v>
      </c>
      <c r="P328" s="8">
        <v>12.79</v>
      </c>
      <c r="R328" s="8">
        <f t="shared" si="102"/>
        <v>1244.3507622899999</v>
      </c>
      <c r="S328" s="8">
        <f t="shared" si="103"/>
        <v>6297.3773384400001</v>
      </c>
      <c r="T328" s="8">
        <f t="shared" si="104"/>
        <v>8792.9537291100005</v>
      </c>
      <c r="V328" s="13">
        <v>124</v>
      </c>
      <c r="W328" s="13">
        <v>155</v>
      </c>
      <c r="X328" s="13">
        <v>186</v>
      </c>
    </row>
    <row r="329" spans="1:24" ht="64" x14ac:dyDescent="0.2">
      <c r="A329" s="9" t="s">
        <v>11</v>
      </c>
      <c r="B329" s="10" t="s">
        <v>468</v>
      </c>
      <c r="C329" s="8">
        <v>4</v>
      </c>
      <c r="D329" s="11" t="s">
        <v>36</v>
      </c>
      <c r="E329" s="12">
        <v>1195</v>
      </c>
      <c r="F329" s="12">
        <v>4780</v>
      </c>
      <c r="G329" s="8">
        <v>15</v>
      </c>
      <c r="H329" s="8">
        <v>30</v>
      </c>
      <c r="I329" s="8">
        <v>38</v>
      </c>
      <c r="J329" s="55">
        <f>0.045*2.485*2.185*4</f>
        <v>0.97735050000000001</v>
      </c>
      <c r="K329" s="8">
        <v>2700</v>
      </c>
      <c r="N329" s="8">
        <v>1.81</v>
      </c>
      <c r="O329" s="8">
        <v>9.16</v>
      </c>
      <c r="P329" s="8">
        <v>12.79</v>
      </c>
      <c r="R329" s="8">
        <f t="shared" si="102"/>
        <v>4776.3118935000002</v>
      </c>
      <c r="S329" s="8">
        <f t="shared" si="103"/>
        <v>24171.832566000001</v>
      </c>
      <c r="T329" s="8">
        <f t="shared" si="104"/>
        <v>33750.844816500001</v>
      </c>
      <c r="V329" s="13">
        <v>124</v>
      </c>
      <c r="W329" s="13">
        <v>155</v>
      </c>
      <c r="X329" s="13">
        <v>186</v>
      </c>
    </row>
    <row r="330" spans="1:24" ht="32" x14ac:dyDescent="0.2">
      <c r="A330" s="9" t="s">
        <v>12</v>
      </c>
      <c r="B330" s="10" t="s">
        <v>469</v>
      </c>
      <c r="C330" s="8">
        <v>1</v>
      </c>
      <c r="D330" s="11" t="s">
        <v>36</v>
      </c>
      <c r="E330" s="12">
        <v>1094</v>
      </c>
      <c r="F330" s="12">
        <v>1094</v>
      </c>
      <c r="G330" s="8">
        <v>20</v>
      </c>
      <c r="H330" s="8">
        <v>30</v>
      </c>
      <c r="I330" s="8">
        <v>40</v>
      </c>
      <c r="J330" s="55">
        <f>0.03*1.0225*2.11</f>
        <v>6.4724249999999997E-2</v>
      </c>
      <c r="K330" s="8">
        <v>700</v>
      </c>
      <c r="N330" s="8">
        <v>0.72</v>
      </c>
      <c r="O330" s="8">
        <v>0.72</v>
      </c>
      <c r="P330" s="8">
        <v>0.72</v>
      </c>
      <c r="R330" s="8">
        <f t="shared" ref="R330" si="105">N330*K330*J330</f>
        <v>32.621021999999996</v>
      </c>
      <c r="S330" s="8">
        <f t="shared" ref="S330" si="106">O330*K330*J330</f>
        <v>32.621021999999996</v>
      </c>
      <c r="T330" s="8">
        <f t="shared" ref="T330" si="107">P330*K330*J330</f>
        <v>32.621021999999996</v>
      </c>
      <c r="V330" s="13">
        <v>0.33</v>
      </c>
      <c r="W330" s="13">
        <v>5.38</v>
      </c>
      <c r="X330" s="13">
        <v>16</v>
      </c>
    </row>
    <row r="331" spans="1:24" ht="32" x14ac:dyDescent="0.2">
      <c r="A331" s="9" t="s">
        <v>13</v>
      </c>
      <c r="B331" s="10" t="s">
        <v>472</v>
      </c>
      <c r="C331" s="8">
        <v>33</v>
      </c>
      <c r="D331" s="11" t="s">
        <v>34</v>
      </c>
      <c r="E331" s="12">
        <v>4</v>
      </c>
      <c r="F331" s="12">
        <v>132</v>
      </c>
      <c r="V331" s="13"/>
      <c r="W331" s="13"/>
      <c r="X331" s="13"/>
    </row>
    <row r="332" spans="1:24" ht="32" x14ac:dyDescent="0.2">
      <c r="A332" s="9" t="s">
        <v>6</v>
      </c>
      <c r="B332" s="10" t="s">
        <v>470</v>
      </c>
      <c r="C332" s="8">
        <v>33</v>
      </c>
      <c r="D332" s="11" t="s">
        <v>34</v>
      </c>
      <c r="E332" s="12">
        <v>21</v>
      </c>
      <c r="F332" s="12">
        <v>693</v>
      </c>
      <c r="V332" s="13"/>
      <c r="W332" s="13"/>
      <c r="X332" s="13"/>
    </row>
    <row r="333" spans="1:24" ht="32" x14ac:dyDescent="0.2">
      <c r="A333" s="9" t="s">
        <v>9</v>
      </c>
      <c r="B333" s="10" t="s">
        <v>471</v>
      </c>
      <c r="C333" s="8">
        <v>66</v>
      </c>
      <c r="D333" s="11" t="s">
        <v>34</v>
      </c>
      <c r="E333" s="12">
        <v>27</v>
      </c>
      <c r="F333" s="12">
        <v>1782</v>
      </c>
      <c r="V333" s="13"/>
      <c r="W333" s="13"/>
      <c r="X333" s="13"/>
    </row>
    <row r="334" spans="1:24" ht="48" x14ac:dyDescent="0.2">
      <c r="A334" s="9" t="s">
        <v>6</v>
      </c>
      <c r="B334" s="10" t="s">
        <v>38</v>
      </c>
      <c r="C334" s="8">
        <v>162</v>
      </c>
      <c r="D334" s="11" t="s">
        <v>35</v>
      </c>
      <c r="E334" s="12">
        <v>22.8</v>
      </c>
      <c r="F334" s="12">
        <v>3693.6</v>
      </c>
      <c r="G334" s="8">
        <v>52</v>
      </c>
      <c r="H334" s="8">
        <v>72</v>
      </c>
      <c r="I334" s="8">
        <v>101</v>
      </c>
      <c r="J334" s="55">
        <f>C334*0.1</f>
        <v>16.2</v>
      </c>
      <c r="K334" s="8">
        <v>2200</v>
      </c>
      <c r="N334" s="13">
        <v>7.4899999999999994E-2</v>
      </c>
      <c r="O334" s="13">
        <v>0.107</v>
      </c>
      <c r="P334" s="13">
        <v>0.1391</v>
      </c>
      <c r="R334" s="8">
        <f t="shared" ref="R334:R336" si="108">N334*K334*J334</f>
        <v>2669.4359999999997</v>
      </c>
      <c r="S334" s="8">
        <f t="shared" ref="S334:S336" si="109">O334*K334*J334</f>
        <v>3813.48</v>
      </c>
      <c r="T334" s="8">
        <f t="shared" ref="T334:T336" si="110">P334*K334*J334</f>
        <v>4957.5239999999994</v>
      </c>
      <c r="V334" s="13">
        <v>0.52500000000000002</v>
      </c>
      <c r="W334" s="13">
        <v>0.75</v>
      </c>
      <c r="X334" s="13">
        <v>0.97499999999999998</v>
      </c>
    </row>
    <row r="335" spans="1:24" ht="16" x14ac:dyDescent="0.2">
      <c r="A335" s="9" t="s">
        <v>9</v>
      </c>
      <c r="B335" s="10" t="s">
        <v>40</v>
      </c>
      <c r="C335" s="8">
        <v>446</v>
      </c>
      <c r="D335" s="11" t="s">
        <v>35</v>
      </c>
      <c r="E335" s="12">
        <v>22.8</v>
      </c>
      <c r="F335" s="12">
        <v>10168.799999999999</v>
      </c>
      <c r="G335" s="8">
        <v>52</v>
      </c>
      <c r="H335" s="8">
        <v>72</v>
      </c>
      <c r="I335" s="8">
        <v>101</v>
      </c>
      <c r="J335" s="55">
        <f>C335*0.1</f>
        <v>44.6</v>
      </c>
      <c r="K335" s="8">
        <v>2200</v>
      </c>
      <c r="N335" s="13">
        <v>7.4899999999999994E-2</v>
      </c>
      <c r="O335" s="13">
        <v>0.107</v>
      </c>
      <c r="P335" s="13">
        <v>0.1391</v>
      </c>
      <c r="R335" s="8">
        <f t="shared" si="108"/>
        <v>7349.1880000000001</v>
      </c>
      <c r="S335" s="8">
        <f t="shared" si="109"/>
        <v>10498.84</v>
      </c>
      <c r="T335" s="8">
        <f t="shared" si="110"/>
        <v>13648.492</v>
      </c>
      <c r="V335" s="13">
        <v>0.52500000000000002</v>
      </c>
      <c r="W335" s="13">
        <v>0.75</v>
      </c>
      <c r="X335" s="13">
        <v>0.97499999999999998</v>
      </c>
    </row>
    <row r="336" spans="1:24" ht="48" x14ac:dyDescent="0.2">
      <c r="A336" s="9" t="s">
        <v>10</v>
      </c>
      <c r="B336" s="10" t="s">
        <v>473</v>
      </c>
      <c r="C336" s="8">
        <v>16</v>
      </c>
      <c r="D336" s="11" t="s">
        <v>35</v>
      </c>
      <c r="E336" s="12">
        <v>45.58</v>
      </c>
      <c r="F336" s="12">
        <v>729.28</v>
      </c>
      <c r="G336" s="8">
        <v>52</v>
      </c>
      <c r="H336" s="8">
        <v>72</v>
      </c>
      <c r="I336" s="8">
        <v>101</v>
      </c>
      <c r="J336" s="55">
        <f>C336*0.215</f>
        <v>3.44</v>
      </c>
      <c r="K336" s="8">
        <v>2200</v>
      </c>
      <c r="N336" s="13">
        <v>7.4899999999999994E-2</v>
      </c>
      <c r="O336" s="13">
        <v>0.107</v>
      </c>
      <c r="P336" s="13">
        <v>0.1391</v>
      </c>
      <c r="R336" s="8">
        <f t="shared" si="108"/>
        <v>566.84320000000002</v>
      </c>
      <c r="S336" s="8">
        <f t="shared" si="109"/>
        <v>809.77599999999995</v>
      </c>
      <c r="T336" s="8">
        <f t="shared" si="110"/>
        <v>1052.7087999999999</v>
      </c>
      <c r="V336" s="13">
        <v>0.52500000000000002</v>
      </c>
      <c r="W336" s="13">
        <v>0.75</v>
      </c>
      <c r="X336" s="13">
        <v>0.97499999999999998</v>
      </c>
    </row>
    <row r="337" spans="1:24" ht="48" x14ac:dyDescent="0.2">
      <c r="A337" s="9" t="s">
        <v>11</v>
      </c>
      <c r="B337" s="10" t="s">
        <v>474</v>
      </c>
      <c r="C337" s="8">
        <v>137</v>
      </c>
      <c r="D337" s="11" t="s">
        <v>34</v>
      </c>
      <c r="E337" s="12">
        <v>5</v>
      </c>
      <c r="F337" s="12">
        <v>685</v>
      </c>
      <c r="G337" s="8">
        <v>52</v>
      </c>
      <c r="H337" s="8">
        <v>72</v>
      </c>
      <c r="I337" s="8">
        <v>101</v>
      </c>
      <c r="V337" s="13"/>
      <c r="W337" s="13"/>
      <c r="X337" s="13"/>
    </row>
    <row r="338" spans="1:24" ht="48" x14ac:dyDescent="0.2">
      <c r="A338" s="9" t="s">
        <v>12</v>
      </c>
      <c r="B338" s="10" t="s">
        <v>475</v>
      </c>
      <c r="C338" s="8">
        <v>78</v>
      </c>
      <c r="D338" s="11" t="s">
        <v>34</v>
      </c>
      <c r="E338" s="12">
        <v>10</v>
      </c>
      <c r="F338" s="12">
        <v>780</v>
      </c>
      <c r="G338" s="8">
        <v>52</v>
      </c>
      <c r="H338" s="8">
        <v>72</v>
      </c>
      <c r="I338" s="8">
        <v>101</v>
      </c>
      <c r="V338" s="13"/>
      <c r="W338" s="13"/>
      <c r="X338" s="13"/>
    </row>
    <row r="339" spans="1:24" ht="48" x14ac:dyDescent="0.2">
      <c r="A339" s="9" t="s">
        <v>13</v>
      </c>
      <c r="B339" s="10" t="s">
        <v>476</v>
      </c>
      <c r="C339" s="8">
        <v>6</v>
      </c>
      <c r="D339" s="11" t="s">
        <v>34</v>
      </c>
      <c r="E339" s="12">
        <v>10</v>
      </c>
      <c r="F339" s="12">
        <v>60</v>
      </c>
      <c r="G339" s="8">
        <v>52</v>
      </c>
      <c r="H339" s="8">
        <v>72</v>
      </c>
      <c r="I339" s="8">
        <v>101</v>
      </c>
      <c r="V339" s="13"/>
      <c r="W339" s="13"/>
      <c r="X339" s="13"/>
    </row>
    <row r="340" spans="1:24" ht="48" x14ac:dyDescent="0.2">
      <c r="A340" s="9" t="s">
        <v>14</v>
      </c>
      <c r="B340" s="10" t="s">
        <v>477</v>
      </c>
      <c r="C340" s="8">
        <v>263</v>
      </c>
      <c r="D340" s="11" t="s">
        <v>35</v>
      </c>
      <c r="E340" s="12">
        <v>18.91</v>
      </c>
      <c r="F340" s="12">
        <v>4973.33</v>
      </c>
      <c r="G340" s="8">
        <v>52</v>
      </c>
      <c r="H340" s="8">
        <v>72</v>
      </c>
      <c r="I340" s="8">
        <v>101</v>
      </c>
      <c r="J340" s="55">
        <f>C340*5*0.2*(0.005/2)^2*3.14</f>
        <v>5.1613750000000002E-3</v>
      </c>
      <c r="K340" s="8">
        <v>8000</v>
      </c>
      <c r="N340" s="13">
        <v>6.15</v>
      </c>
      <c r="O340" s="13">
        <v>6.15</v>
      </c>
      <c r="P340" s="13">
        <v>6.15</v>
      </c>
      <c r="R340" s="8">
        <f t="shared" ref="R340" si="111">N340*K340*J340</f>
        <v>253.93965</v>
      </c>
      <c r="S340" s="8">
        <f t="shared" ref="S340" si="112">O340*K340*J340</f>
        <v>253.93965</v>
      </c>
      <c r="T340" s="8">
        <f t="shared" ref="T340" si="113">P340*K340*J340</f>
        <v>253.93965</v>
      </c>
      <c r="V340" s="13">
        <v>11</v>
      </c>
      <c r="W340" s="13">
        <v>56.7</v>
      </c>
      <c r="X340" s="13">
        <v>82</v>
      </c>
    </row>
    <row r="341" spans="1:24" ht="16" x14ac:dyDescent="0.2">
      <c r="A341" s="9" t="s">
        <v>15</v>
      </c>
      <c r="B341" s="10" t="s">
        <v>478</v>
      </c>
      <c r="C341" s="8">
        <v>21</v>
      </c>
      <c r="D341" s="11" t="s">
        <v>34</v>
      </c>
      <c r="E341" s="12">
        <v>8.15</v>
      </c>
      <c r="F341" s="12">
        <v>171.15</v>
      </c>
      <c r="G341" s="8">
        <v>50</v>
      </c>
      <c r="H341" s="8">
        <v>75</v>
      </c>
      <c r="I341" s="8">
        <v>100</v>
      </c>
      <c r="V341" s="13"/>
      <c r="W341" s="13"/>
      <c r="X341" s="13"/>
    </row>
    <row r="342" spans="1:24" ht="48" x14ac:dyDescent="0.2">
      <c r="A342" s="9" t="s">
        <v>16</v>
      </c>
      <c r="B342" s="10" t="s">
        <v>479</v>
      </c>
      <c r="C342" s="8">
        <v>8</v>
      </c>
      <c r="D342" s="11" t="s">
        <v>36</v>
      </c>
      <c r="E342" s="12">
        <v>31.75</v>
      </c>
      <c r="F342" s="12">
        <v>254</v>
      </c>
      <c r="G342" s="8">
        <v>51</v>
      </c>
      <c r="H342" s="8">
        <v>76</v>
      </c>
      <c r="I342" s="8">
        <v>106</v>
      </c>
      <c r="J342" s="55">
        <f>0.1*0.215*0.93*8</f>
        <v>0.15996000000000002</v>
      </c>
      <c r="K342" s="8">
        <v>850</v>
      </c>
      <c r="N342" s="8">
        <v>0.18</v>
      </c>
      <c r="O342" s="8">
        <v>0.18</v>
      </c>
      <c r="P342" s="8">
        <v>0.18</v>
      </c>
      <c r="R342" s="8">
        <f t="shared" ref="R342:R346" si="114">N342*K342*J342</f>
        <v>24.473880000000001</v>
      </c>
      <c r="S342" s="8">
        <f t="shared" ref="S342:S346" si="115">O342*K342*J342</f>
        <v>24.473880000000001</v>
      </c>
      <c r="T342" s="8">
        <f t="shared" ref="T342:T346" si="116">P342*K342*J342</f>
        <v>24.473880000000001</v>
      </c>
      <c r="V342" s="13">
        <v>1.2</v>
      </c>
      <c r="W342" s="13">
        <v>2.1800000000000002</v>
      </c>
      <c r="X342" s="13">
        <v>3.8</v>
      </c>
    </row>
    <row r="343" spans="1:24" ht="48" x14ac:dyDescent="0.2">
      <c r="A343" s="9" t="s">
        <v>17</v>
      </c>
      <c r="B343" s="10" t="s">
        <v>480</v>
      </c>
      <c r="C343" s="8">
        <v>10</v>
      </c>
      <c r="D343" s="11" t="s">
        <v>36</v>
      </c>
      <c r="E343" s="12">
        <v>32.75</v>
      </c>
      <c r="F343" s="12">
        <v>327.5</v>
      </c>
      <c r="G343" s="8">
        <v>51</v>
      </c>
      <c r="H343" s="8">
        <v>76</v>
      </c>
      <c r="I343" s="8">
        <v>106</v>
      </c>
      <c r="J343" s="55">
        <f>0.1*0.215*1.025*10</f>
        <v>0.22037500000000002</v>
      </c>
      <c r="K343" s="8">
        <v>850</v>
      </c>
      <c r="N343" s="8">
        <v>0.18</v>
      </c>
      <c r="O343" s="8">
        <v>0.18</v>
      </c>
      <c r="P343" s="8">
        <v>0.18</v>
      </c>
      <c r="R343" s="8">
        <f t="shared" si="114"/>
        <v>33.717375000000004</v>
      </c>
      <c r="S343" s="8">
        <f t="shared" si="115"/>
        <v>33.717375000000004</v>
      </c>
      <c r="T343" s="8">
        <f t="shared" si="116"/>
        <v>33.717375000000004</v>
      </c>
      <c r="V343" s="13">
        <v>1.2</v>
      </c>
      <c r="W343" s="13">
        <v>2.1800000000000002</v>
      </c>
      <c r="X343" s="13">
        <v>3.8</v>
      </c>
    </row>
    <row r="344" spans="1:24" ht="48" x14ac:dyDescent="0.2">
      <c r="A344" s="9" t="s">
        <v>18</v>
      </c>
      <c r="B344" s="10" t="s">
        <v>481</v>
      </c>
      <c r="C344" s="8">
        <v>3</v>
      </c>
      <c r="D344" s="11" t="s">
        <v>36</v>
      </c>
      <c r="E344" s="12">
        <v>35.97</v>
      </c>
      <c r="F344" s="12">
        <v>107.91</v>
      </c>
      <c r="G344" s="8">
        <v>51</v>
      </c>
      <c r="H344" s="8">
        <v>76</v>
      </c>
      <c r="I344" s="8">
        <v>106</v>
      </c>
      <c r="J344" s="55">
        <f>0.1*0.215*1.115*3</f>
        <v>7.1917499999999995E-2</v>
      </c>
      <c r="K344" s="8">
        <v>850</v>
      </c>
      <c r="N344" s="8">
        <v>0.18</v>
      </c>
      <c r="O344" s="8">
        <v>0.18</v>
      </c>
      <c r="P344" s="8">
        <v>0.18</v>
      </c>
      <c r="R344" s="8">
        <f t="shared" si="114"/>
        <v>11.003377499999999</v>
      </c>
      <c r="S344" s="8">
        <f t="shared" si="115"/>
        <v>11.003377499999999</v>
      </c>
      <c r="T344" s="8">
        <f t="shared" si="116"/>
        <v>11.003377499999999</v>
      </c>
      <c r="V344" s="13">
        <v>1.2</v>
      </c>
      <c r="W344" s="13">
        <v>2.1800000000000002</v>
      </c>
      <c r="X344" s="13">
        <v>3.8</v>
      </c>
    </row>
    <row r="345" spans="1:24" ht="48" x14ac:dyDescent="0.2">
      <c r="A345" s="9" t="s">
        <v>19</v>
      </c>
      <c r="B345" s="10" t="s">
        <v>482</v>
      </c>
      <c r="C345" s="8">
        <v>1</v>
      </c>
      <c r="D345" s="11" t="s">
        <v>36</v>
      </c>
      <c r="E345" s="12">
        <v>39.65</v>
      </c>
      <c r="F345" s="12">
        <v>39.65</v>
      </c>
      <c r="G345" s="8">
        <v>51</v>
      </c>
      <c r="H345" s="8">
        <v>76</v>
      </c>
      <c r="I345" s="8">
        <v>106</v>
      </c>
      <c r="J345" s="55">
        <f>0.1*0.215*1.275</f>
        <v>2.7412499999999999E-2</v>
      </c>
      <c r="K345" s="8">
        <v>850</v>
      </c>
      <c r="N345" s="8">
        <v>0.18</v>
      </c>
      <c r="O345" s="8">
        <v>0.18</v>
      </c>
      <c r="P345" s="8">
        <v>0.18</v>
      </c>
      <c r="R345" s="8">
        <f t="shared" si="114"/>
        <v>4.1941125000000001</v>
      </c>
      <c r="S345" s="8">
        <f t="shared" si="115"/>
        <v>4.1941125000000001</v>
      </c>
      <c r="T345" s="8">
        <f t="shared" si="116"/>
        <v>4.1941125000000001</v>
      </c>
      <c r="V345" s="13">
        <v>1.2</v>
      </c>
      <c r="W345" s="13">
        <v>2.1800000000000002</v>
      </c>
      <c r="X345" s="13">
        <v>3.8</v>
      </c>
    </row>
    <row r="346" spans="1:24" ht="32" x14ac:dyDescent="0.2">
      <c r="A346" s="9" t="s">
        <v>20</v>
      </c>
      <c r="B346" s="10" t="s">
        <v>483</v>
      </c>
      <c r="C346" s="8">
        <v>3718</v>
      </c>
      <c r="D346" s="11" t="s">
        <v>34</v>
      </c>
      <c r="E346" s="12">
        <v>4.0999999999999996</v>
      </c>
      <c r="F346" s="12">
        <v>15243.8</v>
      </c>
      <c r="G346" s="8">
        <v>39</v>
      </c>
      <c r="H346" s="8">
        <v>56</v>
      </c>
      <c r="I346" s="8">
        <v>72</v>
      </c>
      <c r="J346" s="55">
        <f>0.045*0.089*3718</f>
        <v>14.89059</v>
      </c>
      <c r="K346" s="8">
        <v>630</v>
      </c>
      <c r="N346" s="8">
        <v>0.59</v>
      </c>
      <c r="O346" s="8">
        <v>0.59</v>
      </c>
      <c r="P346" s="8">
        <v>0.59</v>
      </c>
      <c r="R346" s="8">
        <f t="shared" si="114"/>
        <v>5534.8323029999992</v>
      </c>
      <c r="S346" s="8">
        <f t="shared" si="115"/>
        <v>5534.8323029999992</v>
      </c>
      <c r="T346" s="8">
        <f t="shared" si="116"/>
        <v>5534.8323029999992</v>
      </c>
      <c r="V346" s="13">
        <v>0.72</v>
      </c>
      <c r="W346" s="13">
        <v>7.4</v>
      </c>
      <c r="X346" s="13">
        <v>13</v>
      </c>
    </row>
    <row r="347" spans="1:24" ht="48" x14ac:dyDescent="0.2">
      <c r="A347" s="9" t="s">
        <v>21</v>
      </c>
      <c r="B347" s="10" t="s">
        <v>484</v>
      </c>
      <c r="C347" s="8">
        <v>274</v>
      </c>
      <c r="D347" s="11" t="s">
        <v>34</v>
      </c>
      <c r="E347" s="12">
        <v>4.0999999999999996</v>
      </c>
      <c r="F347" s="12">
        <v>1123.4000000000001</v>
      </c>
      <c r="G347" s="8">
        <v>39</v>
      </c>
      <c r="H347" s="8">
        <v>56</v>
      </c>
      <c r="I347" s="8">
        <v>72</v>
      </c>
      <c r="J347" s="55">
        <f>0.045*0.089*274</f>
        <v>1.09737</v>
      </c>
      <c r="K347" s="8">
        <v>630</v>
      </c>
      <c r="N347" s="8">
        <v>0.59</v>
      </c>
      <c r="O347" s="8">
        <v>0.59</v>
      </c>
      <c r="P347" s="8">
        <v>0.59</v>
      </c>
      <c r="R347" s="8">
        <f t="shared" ref="R347:R348" si="117">N347*K347*J347</f>
        <v>407.89242899999999</v>
      </c>
      <c r="S347" s="8">
        <f t="shared" ref="S347:S348" si="118">O347*K347*J347</f>
        <v>407.89242899999999</v>
      </c>
      <c r="T347" s="8">
        <f t="shared" ref="T347:T348" si="119">P347*K347*J347</f>
        <v>407.89242899999999</v>
      </c>
      <c r="V347" s="13">
        <v>0.72</v>
      </c>
      <c r="W347" s="13">
        <v>7.4</v>
      </c>
      <c r="X347" s="13">
        <v>13</v>
      </c>
    </row>
    <row r="348" spans="1:24" ht="48" x14ac:dyDescent="0.2">
      <c r="A348" s="9" t="s">
        <v>6</v>
      </c>
      <c r="B348" s="10" t="s">
        <v>485</v>
      </c>
      <c r="C348" s="8">
        <v>1385</v>
      </c>
      <c r="D348" s="11" t="s">
        <v>35</v>
      </c>
      <c r="E348" s="12">
        <v>4.9000000000000004</v>
      </c>
      <c r="F348" s="12">
        <v>6786.5</v>
      </c>
      <c r="G348" s="8">
        <v>39</v>
      </c>
      <c r="H348" s="8">
        <v>56</v>
      </c>
      <c r="I348" s="8">
        <v>72</v>
      </c>
      <c r="J348" s="55">
        <f>0.0125*1385</f>
        <v>17.3125</v>
      </c>
      <c r="K348" s="8">
        <v>950</v>
      </c>
      <c r="N348" s="8">
        <v>0.39</v>
      </c>
      <c r="O348" s="8">
        <v>0.39</v>
      </c>
      <c r="P348" s="8">
        <v>0.39</v>
      </c>
      <c r="R348" s="8">
        <f t="shared" si="117"/>
        <v>6414.28125</v>
      </c>
      <c r="S348" s="8">
        <f t="shared" si="118"/>
        <v>6414.28125</v>
      </c>
      <c r="T348" s="8">
        <f t="shared" si="119"/>
        <v>6414.28125</v>
      </c>
      <c r="V348" s="13">
        <v>6.75</v>
      </c>
      <c r="W348" s="13">
        <v>6.75</v>
      </c>
      <c r="X348" s="13">
        <v>6.75</v>
      </c>
    </row>
    <row r="349" spans="1:24" ht="64" x14ac:dyDescent="0.2">
      <c r="A349" s="9" t="s">
        <v>9</v>
      </c>
      <c r="B349" s="10" t="s">
        <v>486</v>
      </c>
      <c r="C349" s="8">
        <v>370</v>
      </c>
      <c r="D349" s="11" t="s">
        <v>35</v>
      </c>
      <c r="E349" s="12">
        <v>6.4</v>
      </c>
      <c r="F349" s="12">
        <v>2368</v>
      </c>
      <c r="G349" s="8">
        <v>39</v>
      </c>
      <c r="H349" s="8">
        <v>56</v>
      </c>
      <c r="I349" s="8">
        <v>72</v>
      </c>
      <c r="J349" s="55">
        <f>C349*0.0125</f>
        <v>4.625</v>
      </c>
      <c r="K349" s="8">
        <v>950</v>
      </c>
      <c r="N349" s="8">
        <v>0.39</v>
      </c>
      <c r="O349" s="8">
        <v>0.39</v>
      </c>
      <c r="P349" s="8">
        <v>0.39</v>
      </c>
      <c r="R349" s="8">
        <f t="shared" ref="R349:R350" si="120">N349*K349*J349</f>
        <v>1713.5625</v>
      </c>
      <c r="S349" s="8">
        <f t="shared" ref="S349:S350" si="121">O349*K349*J349</f>
        <v>1713.5625</v>
      </c>
      <c r="T349" s="8">
        <f t="shared" ref="T349:T350" si="122">P349*K349*J349</f>
        <v>1713.5625</v>
      </c>
      <c r="V349" s="13">
        <v>6.75</v>
      </c>
      <c r="W349" s="13">
        <v>6.75</v>
      </c>
      <c r="X349" s="13">
        <v>6.75</v>
      </c>
    </row>
    <row r="350" spans="1:24" ht="48" x14ac:dyDescent="0.2">
      <c r="A350" s="9" t="s">
        <v>10</v>
      </c>
      <c r="B350" s="10" t="s">
        <v>487</v>
      </c>
      <c r="C350" s="8">
        <v>38</v>
      </c>
      <c r="D350" s="11" t="s">
        <v>35</v>
      </c>
      <c r="E350" s="12">
        <v>11.7</v>
      </c>
      <c r="F350" s="12">
        <v>444.6</v>
      </c>
      <c r="G350" s="8">
        <v>26</v>
      </c>
      <c r="H350" s="8">
        <v>39</v>
      </c>
      <c r="I350" s="8">
        <v>51</v>
      </c>
      <c r="J350" s="55">
        <f>C350*0.0125</f>
        <v>0.47500000000000003</v>
      </c>
      <c r="K350" s="8">
        <v>950</v>
      </c>
      <c r="N350" s="8">
        <v>0.39</v>
      </c>
      <c r="O350" s="8">
        <v>0.39</v>
      </c>
      <c r="P350" s="8">
        <v>0.39</v>
      </c>
      <c r="R350" s="8">
        <f t="shared" si="120"/>
        <v>175.98750000000001</v>
      </c>
      <c r="S350" s="8">
        <f t="shared" si="121"/>
        <v>175.98750000000001</v>
      </c>
      <c r="T350" s="8">
        <f t="shared" si="122"/>
        <v>175.98750000000001</v>
      </c>
      <c r="V350" s="13">
        <v>6.75</v>
      </c>
      <c r="W350" s="13">
        <v>6.75</v>
      </c>
      <c r="X350" s="13">
        <v>6.75</v>
      </c>
    </row>
    <row r="351" spans="1:24" ht="80" x14ac:dyDescent="0.2">
      <c r="A351" s="9" t="s">
        <v>11</v>
      </c>
      <c r="B351" s="10" t="s">
        <v>488</v>
      </c>
      <c r="C351" s="8">
        <v>417</v>
      </c>
      <c r="D351" s="11" t="s">
        <v>34</v>
      </c>
      <c r="E351" s="12">
        <v>2</v>
      </c>
      <c r="F351" s="12">
        <v>834</v>
      </c>
      <c r="V351" s="13"/>
      <c r="W351" s="13"/>
      <c r="X351" s="13"/>
    </row>
    <row r="352" spans="1:24" ht="80" x14ac:dyDescent="0.2">
      <c r="A352" s="9" t="s">
        <v>12</v>
      </c>
      <c r="B352" s="10" t="s">
        <v>489</v>
      </c>
      <c r="C352" s="8">
        <v>83</v>
      </c>
      <c r="D352" s="11" t="s">
        <v>34</v>
      </c>
      <c r="E352" s="12">
        <v>2</v>
      </c>
      <c r="F352" s="12">
        <v>166</v>
      </c>
      <c r="V352" s="13"/>
      <c r="W352" s="13"/>
      <c r="X352" s="13"/>
    </row>
    <row r="353" spans="1:24" ht="64" x14ac:dyDescent="0.2">
      <c r="A353" s="9" t="s">
        <v>13</v>
      </c>
      <c r="B353" s="10" t="s">
        <v>490</v>
      </c>
      <c r="C353" s="8">
        <v>42</v>
      </c>
      <c r="D353" s="11" t="s">
        <v>34</v>
      </c>
      <c r="E353" s="12">
        <v>3</v>
      </c>
      <c r="F353" s="12">
        <v>126</v>
      </c>
      <c r="V353" s="13"/>
      <c r="W353" s="13"/>
      <c r="X353" s="13"/>
    </row>
    <row r="354" spans="1:24" ht="80" x14ac:dyDescent="0.2">
      <c r="A354" s="9" t="s">
        <v>14</v>
      </c>
      <c r="B354" s="10" t="s">
        <v>491</v>
      </c>
      <c r="C354" s="8">
        <v>635</v>
      </c>
      <c r="D354" s="11" t="s">
        <v>34</v>
      </c>
      <c r="E354" s="12">
        <v>1</v>
      </c>
      <c r="F354" s="12">
        <v>635</v>
      </c>
      <c r="V354" s="13"/>
      <c r="W354" s="13"/>
      <c r="X354" s="13"/>
    </row>
    <row r="355" spans="1:24" ht="16" x14ac:dyDescent="0.2">
      <c r="A355" s="9" t="s">
        <v>15</v>
      </c>
      <c r="B355" s="10" t="s">
        <v>41</v>
      </c>
      <c r="C355" s="8">
        <v>341</v>
      </c>
      <c r="D355" s="11" t="s">
        <v>34</v>
      </c>
      <c r="E355" s="12">
        <v>1.2</v>
      </c>
      <c r="F355" s="12">
        <v>409.2</v>
      </c>
      <c r="V355" s="13"/>
      <c r="W355" s="13"/>
      <c r="X355" s="13"/>
    </row>
    <row r="356" spans="1:24" ht="16" x14ac:dyDescent="0.2">
      <c r="A356" s="9" t="s">
        <v>16</v>
      </c>
      <c r="B356" s="10" t="s">
        <v>100</v>
      </c>
      <c r="C356" s="8">
        <v>211</v>
      </c>
      <c r="D356" s="11" t="s">
        <v>36</v>
      </c>
      <c r="E356" s="12">
        <v>4.5</v>
      </c>
      <c r="F356" s="12">
        <v>949.5</v>
      </c>
      <c r="V356" s="13"/>
      <c r="W356" s="13"/>
      <c r="X356" s="13"/>
    </row>
    <row r="357" spans="1:24" ht="32" x14ac:dyDescent="0.2">
      <c r="A357" s="9" t="s">
        <v>17</v>
      </c>
      <c r="B357" s="10" t="s">
        <v>42</v>
      </c>
      <c r="C357" s="8">
        <v>431</v>
      </c>
      <c r="D357" s="11" t="s">
        <v>35</v>
      </c>
      <c r="E357" s="12">
        <v>9.85</v>
      </c>
      <c r="F357" s="12">
        <v>4245.3500000000004</v>
      </c>
      <c r="V357" s="13"/>
      <c r="W357" s="13"/>
      <c r="X357" s="13"/>
    </row>
    <row r="358" spans="1:24" ht="32" x14ac:dyDescent="0.2">
      <c r="A358" s="9" t="s">
        <v>18</v>
      </c>
      <c r="B358" s="10" t="s">
        <v>43</v>
      </c>
      <c r="C358" s="8">
        <v>847</v>
      </c>
      <c r="D358" s="11" t="s">
        <v>35</v>
      </c>
      <c r="E358" s="12">
        <v>2.7</v>
      </c>
      <c r="F358" s="12">
        <v>2286.9</v>
      </c>
      <c r="V358" s="13"/>
      <c r="W358" s="13"/>
      <c r="X358" s="13"/>
    </row>
    <row r="359" spans="1:24" ht="16" x14ac:dyDescent="0.2">
      <c r="A359" s="9" t="s">
        <v>19</v>
      </c>
      <c r="B359" s="10" t="s">
        <v>44</v>
      </c>
      <c r="C359" s="8">
        <v>65</v>
      </c>
      <c r="D359" s="11" t="s">
        <v>36</v>
      </c>
      <c r="E359" s="12">
        <v>5</v>
      </c>
      <c r="F359" s="12">
        <v>325</v>
      </c>
      <c r="V359" s="13"/>
      <c r="W359" s="13"/>
      <c r="X359" s="13"/>
    </row>
    <row r="360" spans="1:24" ht="16" x14ac:dyDescent="0.2">
      <c r="A360" s="9" t="s">
        <v>20</v>
      </c>
      <c r="B360" s="10" t="s">
        <v>45</v>
      </c>
      <c r="C360" s="8">
        <v>13</v>
      </c>
      <c r="D360" s="11" t="s">
        <v>36</v>
      </c>
      <c r="E360" s="12">
        <v>5</v>
      </c>
      <c r="F360" s="12">
        <v>65</v>
      </c>
      <c r="V360" s="13"/>
      <c r="W360" s="13"/>
      <c r="X360" s="13"/>
    </row>
    <row r="361" spans="1:24" ht="16" x14ac:dyDescent="0.2">
      <c r="A361" s="9" t="s">
        <v>21</v>
      </c>
      <c r="B361" s="10" t="s">
        <v>46</v>
      </c>
      <c r="C361" s="8">
        <v>6</v>
      </c>
      <c r="D361" s="11" t="s">
        <v>36</v>
      </c>
      <c r="E361" s="12">
        <v>5</v>
      </c>
      <c r="F361" s="12">
        <v>30</v>
      </c>
      <c r="V361" s="13"/>
      <c r="W361" s="13"/>
      <c r="X361" s="13"/>
    </row>
    <row r="362" spans="1:24" ht="96" x14ac:dyDescent="0.2">
      <c r="A362" s="9" t="s">
        <v>6</v>
      </c>
      <c r="B362" s="10" t="s">
        <v>492</v>
      </c>
      <c r="C362" s="8">
        <v>86</v>
      </c>
      <c r="D362" s="11" t="s">
        <v>34</v>
      </c>
      <c r="E362" s="12">
        <v>35.65</v>
      </c>
      <c r="F362" s="12">
        <v>3065.9</v>
      </c>
      <c r="G362" s="8">
        <v>18</v>
      </c>
      <c r="H362" s="8">
        <v>22</v>
      </c>
      <c r="I362" s="8">
        <v>33</v>
      </c>
      <c r="J362" s="55">
        <f>0.6*C362*0.015*2</f>
        <v>1.548</v>
      </c>
      <c r="K362" s="8">
        <v>950</v>
      </c>
      <c r="N362" s="8">
        <v>0.39</v>
      </c>
      <c r="O362" s="8">
        <v>0.39</v>
      </c>
      <c r="P362" s="8">
        <v>0.39</v>
      </c>
      <c r="R362" s="8">
        <f>N362*K362*J362</f>
        <v>573.53399999999999</v>
      </c>
      <c r="S362" s="8">
        <f>O362*K362*J362</f>
        <v>573.53399999999999</v>
      </c>
      <c r="T362" s="8">
        <f>P362*K362*J362</f>
        <v>573.53399999999999</v>
      </c>
      <c r="V362" s="13">
        <v>6.75</v>
      </c>
      <c r="W362" s="13">
        <v>6.75</v>
      </c>
      <c r="X362" s="13">
        <v>6.75</v>
      </c>
    </row>
    <row r="363" spans="1:24" ht="96" x14ac:dyDescent="0.2">
      <c r="A363" s="9" t="s">
        <v>9</v>
      </c>
      <c r="B363" s="10" t="s">
        <v>493</v>
      </c>
      <c r="C363" s="8">
        <v>4</v>
      </c>
      <c r="D363" s="11" t="s">
        <v>34</v>
      </c>
      <c r="E363" s="12">
        <v>43.67</v>
      </c>
      <c r="F363" s="12">
        <v>174.68</v>
      </c>
      <c r="G363" s="8">
        <v>18</v>
      </c>
      <c r="H363" s="8">
        <v>22</v>
      </c>
      <c r="I363" s="8">
        <v>33</v>
      </c>
      <c r="J363" s="55">
        <f>750*C363*0.015*2</f>
        <v>90</v>
      </c>
      <c r="K363" s="8">
        <v>950</v>
      </c>
      <c r="N363" s="8">
        <v>0.39</v>
      </c>
      <c r="O363" s="8">
        <v>0.39</v>
      </c>
      <c r="P363" s="8">
        <v>0.39</v>
      </c>
      <c r="R363" s="8">
        <f>N363*K363*J363</f>
        <v>33345</v>
      </c>
      <c r="S363" s="8">
        <f>O363*K363*J363</f>
        <v>33345</v>
      </c>
      <c r="T363" s="8">
        <f>P363*K363*J363</f>
        <v>33345</v>
      </c>
      <c r="V363" s="13">
        <v>6.75</v>
      </c>
      <c r="W363" s="13">
        <v>6.75</v>
      </c>
      <c r="X363" s="13">
        <v>6.75</v>
      </c>
    </row>
    <row r="364" spans="1:24" ht="80" x14ac:dyDescent="0.2">
      <c r="A364" s="9" t="s">
        <v>6</v>
      </c>
      <c r="B364" s="10" t="s">
        <v>494</v>
      </c>
      <c r="C364" s="8">
        <v>5</v>
      </c>
      <c r="D364" s="11" t="s">
        <v>36</v>
      </c>
      <c r="E364" s="12">
        <v>253.43</v>
      </c>
      <c r="F364" s="12">
        <v>1267.1500000000001</v>
      </c>
      <c r="G364" s="8">
        <v>28</v>
      </c>
      <c r="H364" s="8">
        <v>41</v>
      </c>
      <c r="I364" s="8">
        <v>53</v>
      </c>
      <c r="J364" s="55">
        <f>0.035*0.838*1.981*5</f>
        <v>0.29051365000000001</v>
      </c>
      <c r="K364" s="8">
        <v>700</v>
      </c>
      <c r="N364" s="8">
        <v>0.72</v>
      </c>
      <c r="O364" s="8">
        <v>0.72</v>
      </c>
      <c r="P364" s="8">
        <v>0.72</v>
      </c>
      <c r="R364" s="8">
        <f t="shared" ref="R364:R397" si="123">N364*K364*J364</f>
        <v>146.4188796</v>
      </c>
      <c r="S364" s="8">
        <f t="shared" ref="S364:S397" si="124">O364*K364*J364</f>
        <v>146.4188796</v>
      </c>
      <c r="T364" s="8">
        <f t="shared" ref="T364:T397" si="125">P364*K364*J364</f>
        <v>146.4188796</v>
      </c>
      <c r="V364" s="13">
        <v>0.33</v>
      </c>
      <c r="W364" s="13">
        <v>5.38</v>
      </c>
      <c r="X364" s="13">
        <v>16</v>
      </c>
    </row>
    <row r="365" spans="1:24" ht="64" x14ac:dyDescent="0.2">
      <c r="A365" s="9" t="s">
        <v>9</v>
      </c>
      <c r="B365" s="10" t="s">
        <v>495</v>
      </c>
      <c r="C365" s="8">
        <v>1</v>
      </c>
      <c r="D365" s="11" t="s">
        <v>36</v>
      </c>
      <c r="E365" s="12">
        <v>303.98</v>
      </c>
      <c r="F365" s="12">
        <v>303.98</v>
      </c>
      <c r="G365" s="8">
        <v>28</v>
      </c>
      <c r="H365" s="8">
        <v>41</v>
      </c>
      <c r="I365" s="8">
        <v>53</v>
      </c>
      <c r="J365" s="55">
        <f>0.035*0.626*1.981</f>
        <v>4.3403710000000005E-2</v>
      </c>
      <c r="K365" s="8">
        <v>700</v>
      </c>
      <c r="N365" s="8">
        <v>0.72</v>
      </c>
      <c r="O365" s="8">
        <v>0.72</v>
      </c>
      <c r="P365" s="8">
        <v>0.72</v>
      </c>
      <c r="R365" s="8">
        <f t="shared" si="123"/>
        <v>21.875469840000001</v>
      </c>
      <c r="S365" s="8">
        <f t="shared" si="124"/>
        <v>21.875469840000001</v>
      </c>
      <c r="T365" s="8">
        <f t="shared" si="125"/>
        <v>21.875469840000001</v>
      </c>
      <c r="V365" s="13">
        <v>0.33</v>
      </c>
      <c r="W365" s="13">
        <v>5.38</v>
      </c>
      <c r="X365" s="13">
        <v>16</v>
      </c>
    </row>
    <row r="366" spans="1:24" ht="64" x14ac:dyDescent="0.2">
      <c r="A366" s="9" t="s">
        <v>10</v>
      </c>
      <c r="B366" s="10" t="s">
        <v>496</v>
      </c>
      <c r="C366" s="8">
        <v>1</v>
      </c>
      <c r="D366" s="11" t="s">
        <v>36</v>
      </c>
      <c r="E366" s="12">
        <v>474.75</v>
      </c>
      <c r="F366" s="12">
        <v>474.75</v>
      </c>
      <c r="G366" s="8">
        <v>28</v>
      </c>
      <c r="H366" s="8">
        <v>41</v>
      </c>
      <c r="I366" s="8">
        <v>53</v>
      </c>
      <c r="J366" s="55">
        <f>0.035*0.839*2.1</f>
        <v>6.1666500000000006E-2</v>
      </c>
      <c r="K366" s="8">
        <v>700</v>
      </c>
      <c r="N366" s="8">
        <v>0.72</v>
      </c>
      <c r="O366" s="8">
        <v>0.72</v>
      </c>
      <c r="P366" s="8">
        <v>0.72</v>
      </c>
      <c r="R366" s="8">
        <f t="shared" si="123"/>
        <v>31.079916000000004</v>
      </c>
      <c r="S366" s="8">
        <f t="shared" si="124"/>
        <v>31.079916000000004</v>
      </c>
      <c r="T366" s="8">
        <f t="shared" si="125"/>
        <v>31.079916000000004</v>
      </c>
      <c r="V366" s="13">
        <v>0.33</v>
      </c>
      <c r="W366" s="13">
        <v>5.38</v>
      </c>
      <c r="X366" s="13">
        <v>16</v>
      </c>
    </row>
    <row r="367" spans="1:24" ht="80" x14ac:dyDescent="0.2">
      <c r="A367" s="9" t="s">
        <v>11</v>
      </c>
      <c r="B367" s="10" t="s">
        <v>497</v>
      </c>
      <c r="C367" s="8">
        <v>5</v>
      </c>
      <c r="D367" s="11" t="s">
        <v>36</v>
      </c>
      <c r="E367" s="12">
        <v>241.48</v>
      </c>
      <c r="F367" s="12">
        <v>1207.4000000000001</v>
      </c>
      <c r="G367" s="8">
        <v>28</v>
      </c>
      <c r="H367" s="8">
        <v>41</v>
      </c>
      <c r="I367" s="8">
        <v>53</v>
      </c>
      <c r="J367" s="55">
        <f>0.035*0.838*1.981*5</f>
        <v>0.29051365000000001</v>
      </c>
      <c r="K367" s="8">
        <v>700</v>
      </c>
      <c r="N367" s="8">
        <v>0.72</v>
      </c>
      <c r="O367" s="8">
        <v>0.72</v>
      </c>
      <c r="P367" s="8">
        <v>0.72</v>
      </c>
      <c r="R367" s="8">
        <f t="shared" si="123"/>
        <v>146.4188796</v>
      </c>
      <c r="S367" s="8">
        <f t="shared" si="124"/>
        <v>146.4188796</v>
      </c>
      <c r="T367" s="8">
        <f t="shared" si="125"/>
        <v>146.4188796</v>
      </c>
      <c r="V367" s="13">
        <v>0.33</v>
      </c>
      <c r="W367" s="13">
        <v>5.38</v>
      </c>
      <c r="X367" s="13">
        <v>16</v>
      </c>
    </row>
    <row r="368" spans="1:24" ht="80" x14ac:dyDescent="0.2">
      <c r="A368" s="9" t="s">
        <v>12</v>
      </c>
      <c r="B368" s="10" t="s">
        <v>498</v>
      </c>
      <c r="C368" s="8">
        <v>3</v>
      </c>
      <c r="D368" s="11" t="s">
        <v>36</v>
      </c>
      <c r="E368" s="12">
        <v>248.38</v>
      </c>
      <c r="F368" s="12">
        <v>745.14</v>
      </c>
      <c r="G368" s="8">
        <v>28</v>
      </c>
      <c r="H368" s="8">
        <v>41</v>
      </c>
      <c r="I368" s="8">
        <v>53</v>
      </c>
      <c r="J368" s="55">
        <f>0.035*0.686*1.981*3</f>
        <v>0.14269143000000004</v>
      </c>
      <c r="K368" s="8">
        <v>700</v>
      </c>
      <c r="N368" s="8">
        <v>0.72</v>
      </c>
      <c r="O368" s="8">
        <v>0.72</v>
      </c>
      <c r="P368" s="8">
        <v>0.72</v>
      </c>
      <c r="R368" s="8">
        <f t="shared" si="123"/>
        <v>71.916480720000024</v>
      </c>
      <c r="S368" s="8">
        <f t="shared" si="124"/>
        <v>71.916480720000024</v>
      </c>
      <c r="T368" s="8">
        <f t="shared" si="125"/>
        <v>71.916480720000024</v>
      </c>
      <c r="V368" s="13">
        <v>0.33</v>
      </c>
      <c r="W368" s="13">
        <v>5.38</v>
      </c>
      <c r="X368" s="13">
        <v>16</v>
      </c>
    </row>
    <row r="369" spans="1:24" ht="96" x14ac:dyDescent="0.2">
      <c r="A369" s="9" t="s">
        <v>13</v>
      </c>
      <c r="B369" s="10" t="s">
        <v>499</v>
      </c>
      <c r="C369" s="8">
        <v>8</v>
      </c>
      <c r="D369" s="11" t="s">
        <v>36</v>
      </c>
      <c r="E369" s="12">
        <v>256.43</v>
      </c>
      <c r="F369" s="12">
        <v>2051.44</v>
      </c>
      <c r="G369" s="8">
        <v>28</v>
      </c>
      <c r="H369" s="8">
        <v>41</v>
      </c>
      <c r="I369" s="8">
        <v>53</v>
      </c>
      <c r="J369" s="55">
        <f>0.035*0.838*1.981*8</f>
        <v>0.46482184000000004</v>
      </c>
      <c r="K369" s="8">
        <v>700</v>
      </c>
      <c r="N369" s="8">
        <v>0.72</v>
      </c>
      <c r="O369" s="8">
        <v>0.72</v>
      </c>
      <c r="P369" s="8">
        <v>0.72</v>
      </c>
      <c r="R369" s="8">
        <f t="shared" si="123"/>
        <v>234.27020736000003</v>
      </c>
      <c r="S369" s="8">
        <f t="shared" si="124"/>
        <v>234.27020736000003</v>
      </c>
      <c r="T369" s="8">
        <f t="shared" si="125"/>
        <v>234.27020736000003</v>
      </c>
      <c r="V369" s="13">
        <v>0.33</v>
      </c>
      <c r="W369" s="13">
        <v>5.38</v>
      </c>
      <c r="X369" s="13">
        <v>16</v>
      </c>
    </row>
    <row r="370" spans="1:24" ht="80" x14ac:dyDescent="0.2">
      <c r="A370" s="9" t="s">
        <v>14</v>
      </c>
      <c r="B370" s="10" t="s">
        <v>500</v>
      </c>
      <c r="C370" s="8">
        <v>1</v>
      </c>
      <c r="D370" s="11" t="s">
        <v>36</v>
      </c>
      <c r="E370" s="12">
        <v>285.08</v>
      </c>
      <c r="F370" s="12">
        <v>285.08</v>
      </c>
      <c r="G370" s="8">
        <v>28</v>
      </c>
      <c r="H370" s="8">
        <v>41</v>
      </c>
      <c r="I370" s="8">
        <v>53</v>
      </c>
      <c r="J370" s="55">
        <f>0.035*0.726*1.981</f>
        <v>5.0337210000000007E-2</v>
      </c>
      <c r="K370" s="8">
        <v>700</v>
      </c>
      <c r="N370" s="8">
        <v>0.72</v>
      </c>
      <c r="O370" s="8">
        <v>0.72</v>
      </c>
      <c r="P370" s="8">
        <v>0.72</v>
      </c>
      <c r="R370" s="8">
        <f t="shared" si="123"/>
        <v>25.369953840000004</v>
      </c>
      <c r="S370" s="8">
        <f t="shared" si="124"/>
        <v>25.369953840000004</v>
      </c>
      <c r="T370" s="8">
        <f t="shared" si="125"/>
        <v>25.369953840000004</v>
      </c>
      <c r="V370" s="13">
        <v>0.33</v>
      </c>
      <c r="W370" s="13">
        <v>5.38</v>
      </c>
      <c r="X370" s="13">
        <v>16</v>
      </c>
    </row>
    <row r="371" spans="1:24" ht="80" x14ac:dyDescent="0.2">
      <c r="A371" s="9" t="s">
        <v>15</v>
      </c>
      <c r="B371" s="10" t="s">
        <v>501</v>
      </c>
      <c r="C371" s="8">
        <v>2</v>
      </c>
      <c r="D371" s="11" t="s">
        <v>36</v>
      </c>
      <c r="E371" s="12">
        <v>485.2</v>
      </c>
      <c r="F371" s="12">
        <v>970.4</v>
      </c>
      <c r="G371" s="8">
        <v>28</v>
      </c>
      <c r="H371" s="8">
        <v>41</v>
      </c>
      <c r="I371" s="8">
        <v>53</v>
      </c>
      <c r="J371" s="55">
        <f>0.035*1.062*1.981*2</f>
        <v>0.14726754000000003</v>
      </c>
      <c r="K371" s="8">
        <v>700</v>
      </c>
      <c r="N371" s="8">
        <v>0.72</v>
      </c>
      <c r="O371" s="8">
        <v>0.72</v>
      </c>
      <c r="P371" s="8">
        <v>0.72</v>
      </c>
      <c r="R371" s="8">
        <f t="shared" si="123"/>
        <v>74.222840160000018</v>
      </c>
      <c r="S371" s="8">
        <f t="shared" si="124"/>
        <v>74.222840160000018</v>
      </c>
      <c r="T371" s="8">
        <f t="shared" si="125"/>
        <v>74.222840160000018</v>
      </c>
      <c r="V371" s="13">
        <v>0.33</v>
      </c>
      <c r="W371" s="13">
        <v>5.38</v>
      </c>
      <c r="X371" s="13">
        <v>16</v>
      </c>
    </row>
    <row r="372" spans="1:24" ht="80" x14ac:dyDescent="0.2">
      <c r="A372" s="9" t="s">
        <v>16</v>
      </c>
      <c r="B372" s="10" t="s">
        <v>502</v>
      </c>
      <c r="C372" s="8">
        <v>5</v>
      </c>
      <c r="D372" s="11" t="s">
        <v>36</v>
      </c>
      <c r="E372" s="12">
        <v>244.48</v>
      </c>
      <c r="F372" s="12">
        <v>1222.4000000000001</v>
      </c>
      <c r="G372" s="8">
        <v>28</v>
      </c>
      <c r="H372" s="8">
        <v>41</v>
      </c>
      <c r="I372" s="8">
        <v>53</v>
      </c>
      <c r="J372" s="55">
        <f>0.035*0.838*1.981*5</f>
        <v>0.29051365000000001</v>
      </c>
      <c r="K372" s="8">
        <v>700</v>
      </c>
      <c r="N372" s="8">
        <v>0.72</v>
      </c>
      <c r="O372" s="8">
        <v>0.72</v>
      </c>
      <c r="P372" s="8">
        <v>0.72</v>
      </c>
      <c r="R372" s="8">
        <f t="shared" si="123"/>
        <v>146.4188796</v>
      </c>
      <c r="S372" s="8">
        <f t="shared" si="124"/>
        <v>146.4188796</v>
      </c>
      <c r="T372" s="8">
        <f t="shared" si="125"/>
        <v>146.4188796</v>
      </c>
      <c r="V372" s="13">
        <v>0.33</v>
      </c>
      <c r="W372" s="13">
        <v>5.38</v>
      </c>
      <c r="X372" s="13">
        <v>16</v>
      </c>
    </row>
    <row r="373" spans="1:24" ht="64" x14ac:dyDescent="0.2">
      <c r="A373" s="9" t="s">
        <v>17</v>
      </c>
      <c r="B373" s="10" t="s">
        <v>503</v>
      </c>
      <c r="C373" s="8">
        <v>1</v>
      </c>
      <c r="D373" s="11" t="s">
        <v>36</v>
      </c>
      <c r="E373" s="12">
        <v>306.98</v>
      </c>
      <c r="F373" s="12">
        <v>306.98</v>
      </c>
      <c r="G373" s="8">
        <v>28</v>
      </c>
      <c r="H373" s="8">
        <v>41</v>
      </c>
      <c r="I373" s="8">
        <v>53</v>
      </c>
      <c r="J373" s="55">
        <f>0.035*0.626*1.981</f>
        <v>4.3403710000000005E-2</v>
      </c>
      <c r="K373" s="8">
        <v>700</v>
      </c>
      <c r="N373" s="8">
        <v>0.72</v>
      </c>
      <c r="O373" s="8">
        <v>0.72</v>
      </c>
      <c r="P373" s="8">
        <v>0.72</v>
      </c>
      <c r="R373" s="8">
        <f t="shared" si="123"/>
        <v>21.875469840000001</v>
      </c>
      <c r="S373" s="8">
        <f t="shared" si="124"/>
        <v>21.875469840000001</v>
      </c>
      <c r="T373" s="8">
        <f t="shared" si="125"/>
        <v>21.875469840000001</v>
      </c>
      <c r="V373" s="13">
        <v>0.33</v>
      </c>
      <c r="W373" s="13">
        <v>5.38</v>
      </c>
      <c r="X373" s="13">
        <v>16</v>
      </c>
    </row>
    <row r="374" spans="1:24" ht="64" x14ac:dyDescent="0.2">
      <c r="A374" s="9" t="s">
        <v>18</v>
      </c>
      <c r="B374" s="10" t="s">
        <v>504</v>
      </c>
      <c r="C374" s="8">
        <v>1</v>
      </c>
      <c r="D374" s="11" t="s">
        <v>36</v>
      </c>
      <c r="E374" s="12">
        <v>239.43</v>
      </c>
      <c r="F374" s="12">
        <v>239.43</v>
      </c>
      <c r="G374" s="8">
        <v>28</v>
      </c>
      <c r="H374" s="8">
        <v>41</v>
      </c>
      <c r="I374" s="8">
        <v>53</v>
      </c>
      <c r="J374" s="55">
        <f>0.035*0.762*1.981</f>
        <v>5.2833270000000009E-2</v>
      </c>
      <c r="K374" s="8">
        <v>700</v>
      </c>
      <c r="N374" s="8">
        <v>0.72</v>
      </c>
      <c r="O374" s="8">
        <v>0.72</v>
      </c>
      <c r="P374" s="8">
        <v>0.72</v>
      </c>
      <c r="R374" s="8">
        <f t="shared" si="123"/>
        <v>26.627968080000006</v>
      </c>
      <c r="S374" s="8">
        <f t="shared" si="124"/>
        <v>26.627968080000006</v>
      </c>
      <c r="T374" s="8">
        <f t="shared" si="125"/>
        <v>26.627968080000006</v>
      </c>
      <c r="V374" s="13">
        <v>0.33</v>
      </c>
      <c r="W374" s="13">
        <v>5.38</v>
      </c>
      <c r="X374" s="13">
        <v>16</v>
      </c>
    </row>
    <row r="375" spans="1:24" ht="64" x14ac:dyDescent="0.2">
      <c r="A375" s="9" t="s">
        <v>19</v>
      </c>
      <c r="B375" s="10" t="s">
        <v>505</v>
      </c>
      <c r="C375" s="8">
        <v>2</v>
      </c>
      <c r="D375" s="11" t="s">
        <v>36</v>
      </c>
      <c r="E375" s="12">
        <v>451.45</v>
      </c>
      <c r="F375" s="12">
        <v>902.9</v>
      </c>
      <c r="G375" s="8">
        <v>28</v>
      </c>
      <c r="H375" s="8">
        <v>41</v>
      </c>
      <c r="I375" s="8">
        <v>53</v>
      </c>
      <c r="J375" s="55">
        <f>0.035*1.07*1.981*2</f>
        <v>0.14837690000000003</v>
      </c>
      <c r="K375" s="8">
        <v>700</v>
      </c>
      <c r="N375" s="8">
        <v>0.72</v>
      </c>
      <c r="O375" s="8">
        <v>0.72</v>
      </c>
      <c r="P375" s="8">
        <v>0.72</v>
      </c>
      <c r="R375" s="8">
        <f t="shared" si="123"/>
        <v>74.781957600000013</v>
      </c>
      <c r="S375" s="8">
        <f t="shared" si="124"/>
        <v>74.781957600000013</v>
      </c>
      <c r="T375" s="8">
        <f t="shared" si="125"/>
        <v>74.781957600000013</v>
      </c>
      <c r="V375" s="13">
        <v>0.33</v>
      </c>
      <c r="W375" s="13">
        <v>5.38</v>
      </c>
      <c r="X375" s="13">
        <v>16</v>
      </c>
    </row>
    <row r="376" spans="1:24" ht="80" x14ac:dyDescent="0.2">
      <c r="A376" s="9" t="s">
        <v>6</v>
      </c>
      <c r="B376" s="10" t="s">
        <v>506</v>
      </c>
      <c r="C376" s="8">
        <v>2</v>
      </c>
      <c r="D376" s="11" t="s">
        <v>36</v>
      </c>
      <c r="E376" s="12">
        <v>403.06</v>
      </c>
      <c r="F376" s="12">
        <v>806.12</v>
      </c>
      <c r="G376" s="8">
        <v>28</v>
      </c>
      <c r="H376" s="8">
        <v>41</v>
      </c>
      <c r="I376" s="8">
        <v>55</v>
      </c>
      <c r="J376" s="55">
        <f>0.035*0.838*1.981*2</f>
        <v>0.11620546000000001</v>
      </c>
      <c r="K376" s="8">
        <v>700</v>
      </c>
      <c r="N376" s="8">
        <v>0.72</v>
      </c>
      <c r="O376" s="8">
        <v>0.72</v>
      </c>
      <c r="P376" s="8">
        <v>0.72</v>
      </c>
      <c r="R376" s="8">
        <f t="shared" si="123"/>
        <v>58.567551840000007</v>
      </c>
      <c r="S376" s="8">
        <f t="shared" si="124"/>
        <v>58.567551840000007</v>
      </c>
      <c r="T376" s="8">
        <f t="shared" si="125"/>
        <v>58.567551840000007</v>
      </c>
      <c r="V376" s="13">
        <v>0.33</v>
      </c>
      <c r="W376" s="13">
        <v>5.38</v>
      </c>
      <c r="X376" s="13">
        <v>16</v>
      </c>
    </row>
    <row r="377" spans="1:24" ht="80" x14ac:dyDescent="0.2">
      <c r="A377" s="9" t="s">
        <v>9</v>
      </c>
      <c r="B377" s="10" t="s">
        <v>507</v>
      </c>
      <c r="C377" s="8">
        <v>2</v>
      </c>
      <c r="D377" s="11" t="s">
        <v>36</v>
      </c>
      <c r="E377" s="12">
        <v>403.06</v>
      </c>
      <c r="F377" s="12">
        <v>806.12</v>
      </c>
      <c r="G377" s="8">
        <v>28</v>
      </c>
      <c r="H377" s="8">
        <v>41</v>
      </c>
      <c r="I377" s="8">
        <v>55</v>
      </c>
      <c r="J377" s="55">
        <f>0.035*0.838*1.981*2</f>
        <v>0.11620546000000001</v>
      </c>
      <c r="K377" s="8">
        <v>700</v>
      </c>
      <c r="N377" s="8">
        <v>0.72</v>
      </c>
      <c r="O377" s="8">
        <v>0.72</v>
      </c>
      <c r="P377" s="8">
        <v>0.72</v>
      </c>
      <c r="R377" s="8">
        <f t="shared" si="123"/>
        <v>58.567551840000007</v>
      </c>
      <c r="S377" s="8">
        <f t="shared" si="124"/>
        <v>58.567551840000007</v>
      </c>
      <c r="T377" s="8">
        <f t="shared" si="125"/>
        <v>58.567551840000007</v>
      </c>
      <c r="V377" s="13">
        <v>0.33</v>
      </c>
      <c r="W377" s="13">
        <v>5.38</v>
      </c>
      <c r="X377" s="13">
        <v>16</v>
      </c>
    </row>
    <row r="378" spans="1:24" ht="96" x14ac:dyDescent="0.2">
      <c r="A378" s="9" t="s">
        <v>10</v>
      </c>
      <c r="B378" s="10" t="s">
        <v>508</v>
      </c>
      <c r="C378" s="8">
        <v>4</v>
      </c>
      <c r="D378" s="11" t="s">
        <v>36</v>
      </c>
      <c r="E378" s="12">
        <v>592.42999999999995</v>
      </c>
      <c r="F378" s="12">
        <v>2369.7199999999998</v>
      </c>
      <c r="G378" s="8">
        <v>28</v>
      </c>
      <c r="H378" s="8">
        <v>41</v>
      </c>
      <c r="I378" s="8">
        <v>55</v>
      </c>
      <c r="J378" s="55">
        <f>0.035*0.838*1.981*4</f>
        <v>0.23241092000000002</v>
      </c>
      <c r="K378" s="8">
        <v>700</v>
      </c>
      <c r="N378" s="8">
        <v>0.72</v>
      </c>
      <c r="O378" s="8">
        <v>0.72</v>
      </c>
      <c r="P378" s="8">
        <v>0.72</v>
      </c>
      <c r="R378" s="8">
        <f t="shared" si="123"/>
        <v>117.13510368000001</v>
      </c>
      <c r="S378" s="8">
        <f t="shared" si="124"/>
        <v>117.13510368000001</v>
      </c>
      <c r="T378" s="8">
        <f t="shared" si="125"/>
        <v>117.13510368000001</v>
      </c>
      <c r="V378" s="13">
        <v>0.33</v>
      </c>
      <c r="W378" s="13">
        <v>5.38</v>
      </c>
      <c r="X378" s="13">
        <v>16</v>
      </c>
    </row>
    <row r="379" spans="1:24" ht="64" x14ac:dyDescent="0.2">
      <c r="A379" s="9" t="s">
        <v>11</v>
      </c>
      <c r="B379" s="10" t="s">
        <v>509</v>
      </c>
      <c r="C379" s="8">
        <v>1</v>
      </c>
      <c r="D379" s="11" t="s">
        <v>36</v>
      </c>
      <c r="E379" s="12">
        <v>592.42999999999995</v>
      </c>
      <c r="F379" s="12">
        <v>592.42999999999995</v>
      </c>
      <c r="G379" s="8">
        <v>28</v>
      </c>
      <c r="H379" s="8">
        <v>41</v>
      </c>
      <c r="I379" s="8">
        <v>55</v>
      </c>
      <c r="J379" s="55">
        <f>0.035*0.838*1.981</f>
        <v>5.8102730000000005E-2</v>
      </c>
      <c r="K379" s="8">
        <v>700</v>
      </c>
      <c r="N379" s="8">
        <v>0.72</v>
      </c>
      <c r="O379" s="8">
        <v>0.72</v>
      </c>
      <c r="P379" s="8">
        <v>0.72</v>
      </c>
      <c r="R379" s="8">
        <f t="shared" si="123"/>
        <v>29.283775920000004</v>
      </c>
      <c r="S379" s="8">
        <f t="shared" si="124"/>
        <v>29.283775920000004</v>
      </c>
      <c r="T379" s="8">
        <f t="shared" si="125"/>
        <v>29.283775920000004</v>
      </c>
      <c r="V379" s="13">
        <v>0.33</v>
      </c>
      <c r="W379" s="13">
        <v>5.38</v>
      </c>
      <c r="X379" s="13">
        <v>16</v>
      </c>
    </row>
    <row r="380" spans="1:24" ht="96" x14ac:dyDescent="0.2">
      <c r="A380" s="9" t="s">
        <v>12</v>
      </c>
      <c r="B380" s="10" t="s">
        <v>510</v>
      </c>
      <c r="C380" s="8">
        <v>10</v>
      </c>
      <c r="D380" s="11" t="s">
        <v>36</v>
      </c>
      <c r="E380" s="12">
        <v>205.97</v>
      </c>
      <c r="F380" s="12">
        <v>2059.6999999999998</v>
      </c>
      <c r="G380" s="8">
        <v>28</v>
      </c>
      <c r="H380" s="8">
        <v>41</v>
      </c>
      <c r="I380" s="8">
        <v>55</v>
      </c>
      <c r="J380" s="55">
        <f>0.035*0.838*1.981*10</f>
        <v>0.58102730000000002</v>
      </c>
      <c r="K380" s="8">
        <v>700</v>
      </c>
      <c r="N380" s="8">
        <v>0.72</v>
      </c>
      <c r="O380" s="8">
        <v>0.72</v>
      </c>
      <c r="P380" s="8">
        <v>0.72</v>
      </c>
      <c r="R380" s="8">
        <f t="shared" si="123"/>
        <v>292.83775919999999</v>
      </c>
      <c r="S380" s="8">
        <f t="shared" si="124"/>
        <v>292.83775919999999</v>
      </c>
      <c r="T380" s="8">
        <f t="shared" si="125"/>
        <v>292.83775919999999</v>
      </c>
      <c r="V380" s="13">
        <v>0.33</v>
      </c>
      <c r="W380" s="13">
        <v>5.38</v>
      </c>
      <c r="X380" s="13">
        <v>16</v>
      </c>
    </row>
    <row r="381" spans="1:24" ht="96" x14ac:dyDescent="0.2">
      <c r="A381" s="9" t="s">
        <v>13</v>
      </c>
      <c r="B381" s="10" t="s">
        <v>511</v>
      </c>
      <c r="C381" s="8">
        <v>11</v>
      </c>
      <c r="D381" s="11" t="s">
        <v>36</v>
      </c>
      <c r="E381" s="12">
        <v>205.97</v>
      </c>
      <c r="F381" s="12">
        <v>2265.67</v>
      </c>
      <c r="G381" s="8">
        <v>28</v>
      </c>
      <c r="H381" s="8">
        <v>41</v>
      </c>
      <c r="I381" s="8">
        <v>55</v>
      </c>
      <c r="J381" s="55">
        <f>0.035*0.838*1.981*11</f>
        <v>0.63913003000000002</v>
      </c>
      <c r="K381" s="8">
        <v>700</v>
      </c>
      <c r="N381" s="8">
        <v>0.72</v>
      </c>
      <c r="O381" s="8">
        <v>0.72</v>
      </c>
      <c r="P381" s="8">
        <v>0.72</v>
      </c>
      <c r="R381" s="8">
        <f t="shared" si="123"/>
        <v>322.12153512000003</v>
      </c>
      <c r="S381" s="8">
        <f t="shared" si="124"/>
        <v>322.12153512000003</v>
      </c>
      <c r="T381" s="8">
        <f t="shared" si="125"/>
        <v>322.12153512000003</v>
      </c>
      <c r="V381" s="13">
        <v>0.33</v>
      </c>
      <c r="W381" s="13">
        <v>5.38</v>
      </c>
      <c r="X381" s="13">
        <v>16</v>
      </c>
    </row>
    <row r="382" spans="1:24" ht="80" x14ac:dyDescent="0.2">
      <c r="A382" s="9" t="s">
        <v>14</v>
      </c>
      <c r="B382" s="10" t="s">
        <v>512</v>
      </c>
      <c r="C382" s="8">
        <v>1</v>
      </c>
      <c r="D382" s="11" t="s">
        <v>36</v>
      </c>
      <c r="E382" s="12">
        <v>201.4</v>
      </c>
      <c r="F382" s="12">
        <v>201.4</v>
      </c>
      <c r="G382" s="8">
        <v>28</v>
      </c>
      <c r="H382" s="8">
        <v>41</v>
      </c>
      <c r="I382" s="8">
        <v>55</v>
      </c>
      <c r="J382" s="55">
        <f>0.035*0.762*1.981</f>
        <v>5.2833270000000009E-2</v>
      </c>
      <c r="K382" s="8">
        <v>700</v>
      </c>
      <c r="N382" s="8">
        <v>0.72</v>
      </c>
      <c r="O382" s="8">
        <v>0.72</v>
      </c>
      <c r="P382" s="8">
        <v>0.72</v>
      </c>
      <c r="R382" s="8">
        <f t="shared" si="123"/>
        <v>26.627968080000006</v>
      </c>
      <c r="S382" s="8">
        <f t="shared" si="124"/>
        <v>26.627968080000006</v>
      </c>
      <c r="T382" s="8">
        <f t="shared" si="125"/>
        <v>26.627968080000006</v>
      </c>
      <c r="V382" s="13">
        <v>0.33</v>
      </c>
      <c r="W382" s="13">
        <v>5.38</v>
      </c>
      <c r="X382" s="13">
        <v>16</v>
      </c>
    </row>
    <row r="383" spans="1:24" ht="112" x14ac:dyDescent="0.2">
      <c r="A383" s="9" t="s">
        <v>15</v>
      </c>
      <c r="B383" s="10" t="s">
        <v>513</v>
      </c>
      <c r="C383" s="8">
        <v>13</v>
      </c>
      <c r="D383" s="11" t="s">
        <v>36</v>
      </c>
      <c r="E383" s="12">
        <v>217.92</v>
      </c>
      <c r="F383" s="12">
        <v>2832.96</v>
      </c>
      <c r="G383" s="8">
        <v>28</v>
      </c>
      <c r="H383" s="8">
        <v>41</v>
      </c>
      <c r="I383" s="8">
        <v>55</v>
      </c>
      <c r="J383" s="55">
        <f>0.035*0.838*1.981*13</f>
        <v>0.75533549000000011</v>
      </c>
      <c r="K383" s="8">
        <v>700</v>
      </c>
      <c r="N383" s="8">
        <v>0.72</v>
      </c>
      <c r="O383" s="8">
        <v>0.72</v>
      </c>
      <c r="P383" s="8">
        <v>0.72</v>
      </c>
      <c r="R383" s="8">
        <f t="shared" si="123"/>
        <v>380.68908696000005</v>
      </c>
      <c r="S383" s="8">
        <f t="shared" si="124"/>
        <v>380.68908696000005</v>
      </c>
      <c r="T383" s="8">
        <f t="shared" si="125"/>
        <v>380.68908696000005</v>
      </c>
      <c r="V383" s="13">
        <v>0.33</v>
      </c>
      <c r="W383" s="13">
        <v>5.38</v>
      </c>
      <c r="X383" s="13">
        <v>16</v>
      </c>
    </row>
    <row r="384" spans="1:24" ht="96" x14ac:dyDescent="0.2">
      <c r="A384" s="9" t="s">
        <v>16</v>
      </c>
      <c r="B384" s="10" t="s">
        <v>514</v>
      </c>
      <c r="C384" s="8">
        <v>3</v>
      </c>
      <c r="D384" s="11" t="s">
        <v>36</v>
      </c>
      <c r="E384" s="12">
        <v>249.02</v>
      </c>
      <c r="F384" s="12">
        <v>747.06</v>
      </c>
      <c r="G384" s="8">
        <v>28</v>
      </c>
      <c r="H384" s="8">
        <v>41</v>
      </c>
      <c r="I384" s="8">
        <v>55</v>
      </c>
      <c r="J384" s="55">
        <f>0.035*0.626*1.447*3</f>
        <v>9.5111310000000018E-2</v>
      </c>
      <c r="K384" s="8">
        <v>700</v>
      </c>
      <c r="N384" s="8">
        <v>0.72</v>
      </c>
      <c r="O384" s="8">
        <v>0.72</v>
      </c>
      <c r="P384" s="8">
        <v>0.72</v>
      </c>
      <c r="R384" s="8">
        <f t="shared" si="123"/>
        <v>47.936100240000009</v>
      </c>
      <c r="S384" s="8">
        <f t="shared" si="124"/>
        <v>47.936100240000009</v>
      </c>
      <c r="T384" s="8">
        <f t="shared" si="125"/>
        <v>47.936100240000009</v>
      </c>
      <c r="V384" s="13">
        <v>0.33</v>
      </c>
      <c r="W384" s="13">
        <v>5.38</v>
      </c>
      <c r="X384" s="13">
        <v>16</v>
      </c>
    </row>
    <row r="385" spans="1:25" ht="96" x14ac:dyDescent="0.2">
      <c r="A385" s="9" t="s">
        <v>17</v>
      </c>
      <c r="B385" s="10" t="s">
        <v>515</v>
      </c>
      <c r="C385" s="8">
        <v>2</v>
      </c>
      <c r="D385" s="11" t="s">
        <v>36</v>
      </c>
      <c r="E385" s="12">
        <v>482.46</v>
      </c>
      <c r="F385" s="12">
        <v>964.92</v>
      </c>
      <c r="G385" s="8">
        <v>28</v>
      </c>
      <c r="H385" s="8">
        <v>41</v>
      </c>
      <c r="I385" s="8">
        <v>55</v>
      </c>
      <c r="J385" s="55">
        <f>0.035*1062*1.981*2</f>
        <v>147.26754000000003</v>
      </c>
      <c r="K385" s="8">
        <v>700</v>
      </c>
      <c r="N385" s="8">
        <v>0.72</v>
      </c>
      <c r="O385" s="8">
        <v>0.72</v>
      </c>
      <c r="P385" s="8">
        <v>0.72</v>
      </c>
      <c r="R385" s="8">
        <f t="shared" si="123"/>
        <v>74222.840160000007</v>
      </c>
      <c r="S385" s="8">
        <f t="shared" si="124"/>
        <v>74222.840160000007</v>
      </c>
      <c r="T385" s="8">
        <f t="shared" si="125"/>
        <v>74222.840160000007</v>
      </c>
      <c r="V385" s="13">
        <v>0.33</v>
      </c>
      <c r="W385" s="13">
        <v>5.38</v>
      </c>
      <c r="X385" s="13">
        <v>16</v>
      </c>
    </row>
    <row r="386" spans="1:25" ht="64" x14ac:dyDescent="0.2">
      <c r="A386" s="9" t="s">
        <v>18</v>
      </c>
      <c r="B386" s="10" t="s">
        <v>516</v>
      </c>
      <c r="C386" s="8">
        <v>1</v>
      </c>
      <c r="D386" s="11" t="s">
        <v>36</v>
      </c>
      <c r="E386" s="12">
        <v>205.97</v>
      </c>
      <c r="F386" s="12">
        <v>205.97</v>
      </c>
      <c r="G386" s="8">
        <v>28</v>
      </c>
      <c r="H386" s="8">
        <v>41</v>
      </c>
      <c r="I386" s="8">
        <v>55</v>
      </c>
      <c r="J386" s="55">
        <f>0.035*0.838*1.981</f>
        <v>5.8102730000000005E-2</v>
      </c>
      <c r="K386" s="8">
        <v>700</v>
      </c>
      <c r="N386" s="8">
        <v>0.72</v>
      </c>
      <c r="O386" s="8">
        <v>0.72</v>
      </c>
      <c r="P386" s="8">
        <v>0.72</v>
      </c>
      <c r="R386" s="8">
        <f t="shared" si="123"/>
        <v>29.283775920000004</v>
      </c>
      <c r="S386" s="8">
        <f t="shared" si="124"/>
        <v>29.283775920000004</v>
      </c>
      <c r="T386" s="8">
        <f t="shared" si="125"/>
        <v>29.283775920000004</v>
      </c>
      <c r="V386" s="13">
        <v>0.33</v>
      </c>
      <c r="W386" s="13">
        <v>5.38</v>
      </c>
      <c r="X386" s="13">
        <v>16</v>
      </c>
    </row>
    <row r="387" spans="1:25" ht="64" x14ac:dyDescent="0.2">
      <c r="A387" s="9" t="s">
        <v>6</v>
      </c>
      <c r="B387" s="10" t="s">
        <v>517</v>
      </c>
      <c r="C387" s="8">
        <v>1</v>
      </c>
      <c r="D387" s="11" t="s">
        <v>36</v>
      </c>
      <c r="E387" s="12">
        <v>254.52</v>
      </c>
      <c r="F387" s="12">
        <v>254.52</v>
      </c>
      <c r="G387" s="8">
        <v>28</v>
      </c>
      <c r="H387" s="8">
        <v>41</v>
      </c>
      <c r="I387" s="8">
        <v>53</v>
      </c>
      <c r="J387" s="55">
        <f>0.035*0.838*1.981</f>
        <v>5.8102730000000005E-2</v>
      </c>
      <c r="K387" s="8">
        <v>700</v>
      </c>
      <c r="N387" s="8">
        <v>0.72</v>
      </c>
      <c r="O387" s="8">
        <v>0.72</v>
      </c>
      <c r="P387" s="8">
        <v>0.72</v>
      </c>
      <c r="R387" s="8">
        <f t="shared" si="123"/>
        <v>29.283775920000004</v>
      </c>
      <c r="S387" s="8">
        <f t="shared" si="124"/>
        <v>29.283775920000004</v>
      </c>
      <c r="T387" s="8">
        <f t="shared" si="125"/>
        <v>29.283775920000004</v>
      </c>
      <c r="V387" s="13">
        <v>0.33</v>
      </c>
      <c r="W387" s="13">
        <v>5.38</v>
      </c>
      <c r="X387" s="13">
        <v>16</v>
      </c>
    </row>
    <row r="388" spans="1:25" ht="64" x14ac:dyDescent="0.2">
      <c r="A388" s="9" t="s">
        <v>9</v>
      </c>
      <c r="B388" s="10" t="s">
        <v>518</v>
      </c>
      <c r="C388" s="8">
        <v>1</v>
      </c>
      <c r="D388" s="11" t="s">
        <v>36</v>
      </c>
      <c r="E388" s="12">
        <v>299.49</v>
      </c>
      <c r="F388" s="12">
        <v>299.49</v>
      </c>
      <c r="G388" s="8">
        <v>28</v>
      </c>
      <c r="H388" s="8">
        <v>41</v>
      </c>
      <c r="I388" s="8">
        <v>53</v>
      </c>
      <c r="J388" s="55">
        <f>0.035*0.726*1.981</f>
        <v>5.0337210000000007E-2</v>
      </c>
      <c r="K388" s="8">
        <v>700</v>
      </c>
      <c r="N388" s="8">
        <v>0.72</v>
      </c>
      <c r="O388" s="8">
        <v>0.72</v>
      </c>
      <c r="P388" s="8">
        <v>0.72</v>
      </c>
      <c r="R388" s="8">
        <f t="shared" si="123"/>
        <v>25.369953840000004</v>
      </c>
      <c r="S388" s="8">
        <f t="shared" si="124"/>
        <v>25.369953840000004</v>
      </c>
      <c r="T388" s="8">
        <f t="shared" si="125"/>
        <v>25.369953840000004</v>
      </c>
      <c r="V388" s="13">
        <v>0.33</v>
      </c>
      <c r="W388" s="13">
        <v>5.38</v>
      </c>
      <c r="X388" s="13">
        <v>16</v>
      </c>
    </row>
    <row r="389" spans="1:25" ht="64" x14ac:dyDescent="0.2">
      <c r="A389" s="9" t="s">
        <v>10</v>
      </c>
      <c r="B389" s="10" t="s">
        <v>519</v>
      </c>
      <c r="C389" s="8">
        <v>1</v>
      </c>
      <c r="D389" s="11" t="s">
        <v>36</v>
      </c>
      <c r="E389" s="12">
        <v>262.52</v>
      </c>
      <c r="F389" s="12">
        <v>262.52</v>
      </c>
      <c r="G389" s="8">
        <v>28</v>
      </c>
      <c r="H389" s="8">
        <v>41</v>
      </c>
      <c r="I389" s="8">
        <v>53</v>
      </c>
      <c r="J389" s="55">
        <f>0.035*0.839*1.981</f>
        <v>5.8172065000000009E-2</v>
      </c>
      <c r="K389" s="8">
        <v>700</v>
      </c>
      <c r="N389" s="8">
        <v>0.72</v>
      </c>
      <c r="O389" s="8">
        <v>0.72</v>
      </c>
      <c r="P389" s="8">
        <v>0.72</v>
      </c>
      <c r="R389" s="8">
        <f t="shared" si="123"/>
        <v>29.318720760000005</v>
      </c>
      <c r="S389" s="8">
        <f t="shared" si="124"/>
        <v>29.318720760000005</v>
      </c>
      <c r="T389" s="8">
        <f t="shared" si="125"/>
        <v>29.318720760000005</v>
      </c>
      <c r="V389" s="13">
        <v>0.33</v>
      </c>
      <c r="W389" s="13">
        <v>5.38</v>
      </c>
      <c r="X389" s="13">
        <v>16</v>
      </c>
    </row>
    <row r="390" spans="1:25" ht="64" x14ac:dyDescent="0.2">
      <c r="A390" s="9" t="s">
        <v>11</v>
      </c>
      <c r="B390" s="10" t="s">
        <v>520</v>
      </c>
      <c r="C390" s="8">
        <v>1</v>
      </c>
      <c r="D390" s="11" t="s">
        <v>36</v>
      </c>
      <c r="E390" s="12">
        <v>299.49</v>
      </c>
      <c r="F390" s="12">
        <v>299.49</v>
      </c>
      <c r="G390" s="8">
        <v>28</v>
      </c>
      <c r="H390" s="8">
        <v>41</v>
      </c>
      <c r="I390" s="8">
        <v>53</v>
      </c>
      <c r="J390" s="55">
        <f>0.035*0.762*1.981</f>
        <v>5.2833270000000009E-2</v>
      </c>
      <c r="K390" s="8">
        <v>700</v>
      </c>
      <c r="N390" s="8">
        <v>0.72</v>
      </c>
      <c r="O390" s="8">
        <v>0.72</v>
      </c>
      <c r="P390" s="8">
        <v>0.72</v>
      </c>
      <c r="R390" s="8">
        <f t="shared" si="123"/>
        <v>26.627968080000006</v>
      </c>
      <c r="S390" s="8">
        <f t="shared" si="124"/>
        <v>26.627968080000006</v>
      </c>
      <c r="T390" s="8">
        <f t="shared" si="125"/>
        <v>26.627968080000006</v>
      </c>
      <c r="V390" s="13">
        <v>0.33</v>
      </c>
      <c r="W390" s="13">
        <v>5.38</v>
      </c>
      <c r="X390" s="13">
        <v>16</v>
      </c>
    </row>
    <row r="391" spans="1:25" ht="80" x14ac:dyDescent="0.2">
      <c r="A391" s="9" t="s">
        <v>12</v>
      </c>
      <c r="B391" s="10" t="s">
        <v>521</v>
      </c>
      <c r="C391" s="8">
        <v>5</v>
      </c>
      <c r="D391" s="11" t="s">
        <v>36</v>
      </c>
      <c r="E391" s="12">
        <v>541.67999999999995</v>
      </c>
      <c r="F391" s="12">
        <v>2708.4</v>
      </c>
      <c r="G391" s="8">
        <v>28</v>
      </c>
      <c r="H391" s="8">
        <v>41</v>
      </c>
      <c r="I391" s="8">
        <v>53</v>
      </c>
      <c r="J391" s="55">
        <f>0.035*0.926*1.447*5</f>
        <v>0.23448635000000001</v>
      </c>
      <c r="K391" s="8">
        <v>700</v>
      </c>
      <c r="N391" s="8">
        <v>0.72</v>
      </c>
      <c r="O391" s="8">
        <v>0.72</v>
      </c>
      <c r="P391" s="8">
        <v>0.72</v>
      </c>
      <c r="R391" s="8">
        <f t="shared" si="123"/>
        <v>118.18112040000001</v>
      </c>
      <c r="S391" s="8">
        <f t="shared" si="124"/>
        <v>118.18112040000001</v>
      </c>
      <c r="T391" s="8">
        <f t="shared" si="125"/>
        <v>118.18112040000001</v>
      </c>
      <c r="V391" s="13">
        <v>0.33</v>
      </c>
      <c r="W391" s="13">
        <v>5.38</v>
      </c>
      <c r="X391" s="13">
        <v>16</v>
      </c>
    </row>
    <row r="392" spans="1:25" ht="48" x14ac:dyDescent="0.2">
      <c r="A392" s="9" t="s">
        <v>13</v>
      </c>
      <c r="B392" s="10" t="s">
        <v>47</v>
      </c>
      <c r="C392" s="8">
        <v>1</v>
      </c>
      <c r="D392" s="11" t="s">
        <v>36</v>
      </c>
      <c r="E392" s="12">
        <v>620</v>
      </c>
      <c r="F392" s="12">
        <v>620</v>
      </c>
      <c r="G392" s="8">
        <v>28</v>
      </c>
      <c r="H392" s="8">
        <v>41</v>
      </c>
      <c r="I392" s="8">
        <v>53</v>
      </c>
      <c r="J392" s="55">
        <f>0.03*1.8288*2.375</f>
        <v>0.130302</v>
      </c>
      <c r="K392" s="8">
        <v>700</v>
      </c>
      <c r="N392" s="8">
        <v>0.72</v>
      </c>
      <c r="O392" s="8">
        <v>0.72</v>
      </c>
      <c r="P392" s="8">
        <v>0.72</v>
      </c>
      <c r="R392" s="8">
        <f t="shared" si="123"/>
        <v>65.672207999999998</v>
      </c>
      <c r="S392" s="8">
        <f t="shared" si="124"/>
        <v>65.672207999999998</v>
      </c>
      <c r="T392" s="8">
        <f t="shared" si="125"/>
        <v>65.672207999999998</v>
      </c>
      <c r="V392" s="13">
        <v>0.33</v>
      </c>
      <c r="W392" s="13">
        <v>5.38</v>
      </c>
      <c r="X392" s="13">
        <v>16</v>
      </c>
    </row>
    <row r="393" spans="1:25" ht="48" x14ac:dyDescent="0.2">
      <c r="A393" s="9" t="s">
        <v>14</v>
      </c>
      <c r="B393" s="10" t="s">
        <v>48</v>
      </c>
      <c r="C393" s="8">
        <v>2</v>
      </c>
      <c r="D393" s="11" t="s">
        <v>36</v>
      </c>
      <c r="E393" s="12">
        <v>620</v>
      </c>
      <c r="F393" s="12">
        <v>1240</v>
      </c>
      <c r="G393" s="8">
        <v>28</v>
      </c>
      <c r="H393" s="8">
        <v>41</v>
      </c>
      <c r="I393" s="8">
        <v>53</v>
      </c>
      <c r="J393" s="55">
        <f>0.03*1.44*2.375*2</f>
        <v>0.20519999999999997</v>
      </c>
      <c r="K393" s="8">
        <v>700</v>
      </c>
      <c r="N393" s="8">
        <v>0.72</v>
      </c>
      <c r="O393" s="8">
        <v>0.72</v>
      </c>
      <c r="P393" s="8">
        <v>0.72</v>
      </c>
      <c r="R393" s="8">
        <f t="shared" si="123"/>
        <v>103.42079999999999</v>
      </c>
      <c r="S393" s="8">
        <f t="shared" si="124"/>
        <v>103.42079999999999</v>
      </c>
      <c r="T393" s="8">
        <f t="shared" si="125"/>
        <v>103.42079999999999</v>
      </c>
      <c r="V393" s="13">
        <v>0.33</v>
      </c>
      <c r="W393" s="13">
        <v>5.38</v>
      </c>
      <c r="X393" s="13">
        <v>16</v>
      </c>
    </row>
    <row r="394" spans="1:25" ht="48" x14ac:dyDescent="0.2">
      <c r="A394" s="9" t="s">
        <v>15</v>
      </c>
      <c r="B394" s="10" t="s">
        <v>49</v>
      </c>
      <c r="C394" s="8">
        <v>2</v>
      </c>
      <c r="D394" s="11" t="s">
        <v>36</v>
      </c>
      <c r="E394" s="12">
        <v>620</v>
      </c>
      <c r="F394" s="12">
        <v>1240</v>
      </c>
      <c r="G394" s="8">
        <v>28</v>
      </c>
      <c r="H394" s="8">
        <v>41</v>
      </c>
      <c r="I394" s="8">
        <v>53</v>
      </c>
      <c r="J394" s="55">
        <f>0.03*2.435*2.375*2</f>
        <v>0.3469875</v>
      </c>
      <c r="K394" s="8">
        <v>700</v>
      </c>
      <c r="N394" s="8">
        <v>0.72</v>
      </c>
      <c r="O394" s="8">
        <v>0.72</v>
      </c>
      <c r="P394" s="8">
        <v>0.72</v>
      </c>
      <c r="R394" s="8">
        <f t="shared" si="123"/>
        <v>174.8817</v>
      </c>
      <c r="S394" s="8">
        <f t="shared" si="124"/>
        <v>174.8817</v>
      </c>
      <c r="T394" s="8">
        <f t="shared" si="125"/>
        <v>174.8817</v>
      </c>
      <c r="V394" s="13">
        <v>0.33</v>
      </c>
      <c r="W394" s="13">
        <v>5.38</v>
      </c>
      <c r="X394" s="13">
        <v>16</v>
      </c>
    </row>
    <row r="395" spans="1:25" ht="48" x14ac:dyDescent="0.2">
      <c r="A395" s="9" t="s">
        <v>16</v>
      </c>
      <c r="B395" s="10" t="s">
        <v>50</v>
      </c>
      <c r="C395" s="8">
        <v>2</v>
      </c>
      <c r="D395" s="11" t="s">
        <v>36</v>
      </c>
      <c r="E395" s="12">
        <v>620</v>
      </c>
      <c r="F395" s="12">
        <v>1240</v>
      </c>
      <c r="G395" s="8">
        <v>28</v>
      </c>
      <c r="H395" s="8">
        <v>41</v>
      </c>
      <c r="I395" s="8">
        <v>53</v>
      </c>
      <c r="J395" s="55">
        <f>0.03*1.8288*2*2</f>
        <v>0.21945599999999998</v>
      </c>
      <c r="K395" s="8">
        <v>700</v>
      </c>
      <c r="N395" s="8">
        <v>0.72</v>
      </c>
      <c r="O395" s="8">
        <v>0.72</v>
      </c>
      <c r="P395" s="8">
        <v>0.72</v>
      </c>
      <c r="R395" s="8">
        <f t="shared" si="123"/>
        <v>110.605824</v>
      </c>
      <c r="S395" s="8">
        <f t="shared" si="124"/>
        <v>110.605824</v>
      </c>
      <c r="T395" s="8">
        <f t="shared" si="125"/>
        <v>110.605824</v>
      </c>
      <c r="V395" s="13">
        <v>0.33</v>
      </c>
      <c r="W395" s="13">
        <v>5.38</v>
      </c>
      <c r="X395" s="13">
        <v>16</v>
      </c>
    </row>
    <row r="396" spans="1:25" ht="32" x14ac:dyDescent="0.2">
      <c r="A396" s="9" t="s">
        <v>17</v>
      </c>
      <c r="B396" s="10" t="s">
        <v>51</v>
      </c>
      <c r="C396" s="8">
        <v>1</v>
      </c>
      <c r="D396" s="11" t="s">
        <v>36</v>
      </c>
      <c r="E396" s="12">
        <v>620</v>
      </c>
      <c r="F396" s="12">
        <v>620</v>
      </c>
      <c r="G396" s="8">
        <v>28</v>
      </c>
      <c r="H396" s="8">
        <v>41</v>
      </c>
      <c r="I396" s="8">
        <v>53</v>
      </c>
      <c r="J396" s="55">
        <f>0.03*1.825*2.025</f>
        <v>0.11086875</v>
      </c>
      <c r="K396" s="8">
        <v>700</v>
      </c>
      <c r="N396" s="8">
        <v>0.72</v>
      </c>
      <c r="O396" s="8">
        <v>0.72</v>
      </c>
      <c r="P396" s="8">
        <v>0.72</v>
      </c>
      <c r="R396" s="8">
        <f t="shared" si="123"/>
        <v>55.877850000000002</v>
      </c>
      <c r="S396" s="8">
        <f t="shared" si="124"/>
        <v>55.877850000000002</v>
      </c>
      <c r="T396" s="8">
        <f t="shared" si="125"/>
        <v>55.877850000000002</v>
      </c>
      <c r="V396" s="13">
        <v>0.33</v>
      </c>
      <c r="W396" s="13">
        <v>5.38</v>
      </c>
      <c r="X396" s="13">
        <v>16</v>
      </c>
    </row>
    <row r="397" spans="1:25" ht="16" x14ac:dyDescent="0.2">
      <c r="A397" s="9" t="s">
        <v>6</v>
      </c>
      <c r="B397" s="10" t="s">
        <v>522</v>
      </c>
      <c r="C397" s="8">
        <v>2</v>
      </c>
      <c r="D397" s="11" t="s">
        <v>36</v>
      </c>
      <c r="E397" s="12">
        <v>135</v>
      </c>
      <c r="F397" s="12">
        <v>270</v>
      </c>
      <c r="G397" s="8">
        <v>18</v>
      </c>
      <c r="H397" s="8">
        <v>26</v>
      </c>
      <c r="I397" s="8">
        <v>35</v>
      </c>
      <c r="J397" s="55">
        <f>0.025*0.9*0.9*2</f>
        <v>4.0500000000000008E-2</v>
      </c>
      <c r="K397" s="13">
        <v>1430</v>
      </c>
      <c r="L397" s="13"/>
      <c r="N397" s="8">
        <v>3.1</v>
      </c>
      <c r="O397" s="8">
        <v>3.1</v>
      </c>
      <c r="P397" s="8">
        <v>3.1</v>
      </c>
      <c r="R397" s="8">
        <f t="shared" si="123"/>
        <v>179.53650000000005</v>
      </c>
      <c r="S397" s="8">
        <f t="shared" si="124"/>
        <v>179.53650000000005</v>
      </c>
      <c r="T397" s="8">
        <f t="shared" si="125"/>
        <v>179.53650000000005</v>
      </c>
      <c r="V397" s="13">
        <f>W397*0.7</f>
        <v>54.04</v>
      </c>
      <c r="W397" s="13">
        <v>77.2</v>
      </c>
      <c r="X397" s="13">
        <f>W397*1.3</f>
        <v>100.36000000000001</v>
      </c>
    </row>
    <row r="398" spans="1:25" ht="16" x14ac:dyDescent="0.2">
      <c r="A398" s="9" t="s">
        <v>9</v>
      </c>
      <c r="B398" s="10" t="s">
        <v>523</v>
      </c>
      <c r="C398" s="8">
        <v>2</v>
      </c>
      <c r="D398" s="11" t="s">
        <v>36</v>
      </c>
      <c r="E398" s="12">
        <v>135</v>
      </c>
      <c r="F398" s="12">
        <v>270</v>
      </c>
      <c r="G398" s="8">
        <v>18</v>
      </c>
      <c r="H398" s="8">
        <v>26</v>
      </c>
      <c r="I398" s="8">
        <v>35</v>
      </c>
      <c r="J398" s="55">
        <f>0.025*0.9*0.9*2</f>
        <v>4.0500000000000008E-2</v>
      </c>
      <c r="K398" s="13">
        <v>1430</v>
      </c>
      <c r="L398" s="13"/>
      <c r="N398" s="8">
        <v>3.1</v>
      </c>
      <c r="O398" s="8">
        <v>3.1</v>
      </c>
      <c r="P398" s="8">
        <v>3.1</v>
      </c>
      <c r="R398" s="8">
        <f t="shared" ref="R398:R399" si="126">N398*K398*J398</f>
        <v>179.53650000000005</v>
      </c>
      <c r="S398" s="8">
        <f t="shared" ref="S398:S399" si="127">O398*K398*J398</f>
        <v>179.53650000000005</v>
      </c>
      <c r="T398" s="8">
        <f t="shared" ref="T398:T399" si="128">P398*K398*J398</f>
        <v>179.53650000000005</v>
      </c>
      <c r="V398" s="13">
        <f t="shared" ref="V398:V399" si="129">W398*0.7</f>
        <v>54.74</v>
      </c>
      <c r="W398" s="13">
        <v>78.2</v>
      </c>
      <c r="X398" s="13">
        <f t="shared" ref="X398:X399" si="130">W398*1.3</f>
        <v>101.66000000000001</v>
      </c>
    </row>
    <row r="399" spans="1:25" ht="16" x14ac:dyDescent="0.2">
      <c r="A399" s="9" t="s">
        <v>10</v>
      </c>
      <c r="B399" s="10" t="s">
        <v>524</v>
      </c>
      <c r="C399" s="8">
        <v>1</v>
      </c>
      <c r="D399" s="11" t="s">
        <v>36</v>
      </c>
      <c r="E399" s="12">
        <v>135</v>
      </c>
      <c r="F399" s="12">
        <v>135</v>
      </c>
      <c r="G399" s="8">
        <v>18</v>
      </c>
      <c r="H399" s="8">
        <v>26</v>
      </c>
      <c r="I399" s="8">
        <v>35</v>
      </c>
      <c r="J399" s="55">
        <f>0.025*0.9*0.9</f>
        <v>2.0250000000000004E-2</v>
      </c>
      <c r="K399" s="13">
        <v>1430</v>
      </c>
      <c r="L399" s="13"/>
      <c r="N399" s="8">
        <v>3.1</v>
      </c>
      <c r="O399" s="8">
        <v>3.1</v>
      </c>
      <c r="P399" s="8">
        <v>3.1</v>
      </c>
      <c r="R399" s="8">
        <f t="shared" si="126"/>
        <v>89.768250000000023</v>
      </c>
      <c r="S399" s="8">
        <f t="shared" si="127"/>
        <v>89.768250000000023</v>
      </c>
      <c r="T399" s="8">
        <f t="shared" si="128"/>
        <v>89.768250000000023</v>
      </c>
      <c r="V399" s="13">
        <f t="shared" si="129"/>
        <v>55.44</v>
      </c>
      <c r="W399" s="13">
        <v>79.2</v>
      </c>
      <c r="X399" s="13">
        <f t="shared" si="130"/>
        <v>102.96000000000001</v>
      </c>
    </row>
    <row r="400" spans="1:25" ht="32" x14ac:dyDescent="0.2">
      <c r="A400" s="9" t="s">
        <v>11</v>
      </c>
      <c r="B400" s="10" t="s">
        <v>525</v>
      </c>
      <c r="C400" s="8">
        <v>101</v>
      </c>
      <c r="D400" s="11" t="s">
        <v>34</v>
      </c>
      <c r="E400" s="12">
        <v>2.65</v>
      </c>
      <c r="F400" s="12">
        <v>267.64999999999998</v>
      </c>
      <c r="G400" s="8">
        <v>6</v>
      </c>
      <c r="H400" s="8">
        <v>6</v>
      </c>
      <c r="I400" s="8">
        <v>6</v>
      </c>
      <c r="J400" s="55">
        <f>C400*0.3</f>
        <v>30.299999999999997</v>
      </c>
      <c r="N400" s="8">
        <v>0.44</v>
      </c>
      <c r="O400" s="8">
        <v>0.44</v>
      </c>
      <c r="P400" s="8">
        <v>0.44</v>
      </c>
      <c r="Q400" s="8" t="s">
        <v>919</v>
      </c>
      <c r="R400" s="8">
        <f>N400*J400</f>
        <v>13.331999999999999</v>
      </c>
      <c r="S400" s="8">
        <f>O400*J400</f>
        <v>13.331999999999999</v>
      </c>
      <c r="T400" s="8">
        <f>P400*J400</f>
        <v>13.331999999999999</v>
      </c>
      <c r="V400" s="13">
        <v>10.5</v>
      </c>
      <c r="W400" s="13">
        <v>10.5</v>
      </c>
      <c r="X400" s="13">
        <v>10.5</v>
      </c>
      <c r="Y400" s="8" t="s">
        <v>920</v>
      </c>
    </row>
    <row r="401" spans="1:24" ht="32" x14ac:dyDescent="0.2">
      <c r="A401" s="9" t="s">
        <v>12</v>
      </c>
      <c r="B401" s="10" t="s">
        <v>526</v>
      </c>
      <c r="C401" s="8">
        <v>115</v>
      </c>
      <c r="D401" s="11" t="s">
        <v>34</v>
      </c>
      <c r="E401" s="12">
        <v>2.65</v>
      </c>
      <c r="F401" s="12">
        <v>304.75</v>
      </c>
      <c r="G401" s="8">
        <v>6</v>
      </c>
      <c r="H401" s="8">
        <v>6</v>
      </c>
      <c r="I401" s="8">
        <v>6</v>
      </c>
      <c r="J401" s="55">
        <f>0.3*C401</f>
        <v>34.5</v>
      </c>
      <c r="N401" s="8">
        <v>0.44</v>
      </c>
      <c r="O401" s="8">
        <v>0.44</v>
      </c>
      <c r="P401" s="8">
        <v>0.44</v>
      </c>
      <c r="R401" s="8">
        <f t="shared" ref="R401:R403" si="131">N401*J401</f>
        <v>15.18</v>
      </c>
      <c r="S401" s="8">
        <f t="shared" ref="S401:S403" si="132">O401*J401</f>
        <v>15.18</v>
      </c>
      <c r="T401" s="8">
        <f t="shared" ref="T401:T403" si="133">P401*J401</f>
        <v>15.18</v>
      </c>
      <c r="V401" s="13">
        <v>10.5</v>
      </c>
      <c r="W401" s="13">
        <v>10.5</v>
      </c>
      <c r="X401" s="13">
        <v>10.5</v>
      </c>
    </row>
    <row r="402" spans="1:24" ht="32" x14ac:dyDescent="0.2">
      <c r="A402" s="9" t="s">
        <v>13</v>
      </c>
      <c r="B402" s="10" t="s">
        <v>527</v>
      </c>
      <c r="C402" s="8">
        <v>174</v>
      </c>
      <c r="D402" s="11" t="s">
        <v>34</v>
      </c>
      <c r="E402" s="12">
        <v>2.65</v>
      </c>
      <c r="F402" s="12">
        <v>461.1</v>
      </c>
      <c r="G402" s="8">
        <v>6</v>
      </c>
      <c r="H402" s="8">
        <v>6</v>
      </c>
      <c r="I402" s="8">
        <v>6</v>
      </c>
      <c r="J402" s="55">
        <f>0.3*C402</f>
        <v>52.199999999999996</v>
      </c>
      <c r="N402" s="8">
        <v>0.44</v>
      </c>
      <c r="O402" s="8">
        <v>0.44</v>
      </c>
      <c r="P402" s="8">
        <v>0.44</v>
      </c>
      <c r="R402" s="8">
        <f t="shared" si="131"/>
        <v>22.968</v>
      </c>
      <c r="S402" s="8">
        <f t="shared" si="132"/>
        <v>22.968</v>
      </c>
      <c r="T402" s="8">
        <f t="shared" si="133"/>
        <v>22.968</v>
      </c>
      <c r="V402" s="13">
        <v>10.5</v>
      </c>
      <c r="W402" s="13">
        <v>10.5</v>
      </c>
      <c r="X402" s="13">
        <v>10.5</v>
      </c>
    </row>
    <row r="403" spans="1:24" ht="32" x14ac:dyDescent="0.2">
      <c r="A403" s="9" t="s">
        <v>14</v>
      </c>
      <c r="B403" s="10" t="s">
        <v>528</v>
      </c>
      <c r="C403" s="8">
        <v>53</v>
      </c>
      <c r="D403" s="11" t="s">
        <v>34</v>
      </c>
      <c r="E403" s="12">
        <v>2.65</v>
      </c>
      <c r="F403" s="12">
        <v>140.44999999999999</v>
      </c>
      <c r="G403" s="8">
        <v>6</v>
      </c>
      <c r="H403" s="8">
        <v>6</v>
      </c>
      <c r="I403" s="8">
        <v>6</v>
      </c>
      <c r="J403" s="55">
        <f>0.3*C403</f>
        <v>15.899999999999999</v>
      </c>
      <c r="N403" s="8">
        <v>0.44</v>
      </c>
      <c r="O403" s="8">
        <v>0.44</v>
      </c>
      <c r="P403" s="8">
        <v>0.44</v>
      </c>
      <c r="R403" s="8">
        <f t="shared" si="131"/>
        <v>6.9959999999999996</v>
      </c>
      <c r="S403" s="8">
        <f t="shared" si="132"/>
        <v>6.9959999999999996</v>
      </c>
      <c r="T403" s="8">
        <f t="shared" si="133"/>
        <v>6.9959999999999996</v>
      </c>
      <c r="V403" s="13">
        <v>10.5</v>
      </c>
      <c r="W403" s="13">
        <v>10.5</v>
      </c>
      <c r="X403" s="13">
        <v>10.5</v>
      </c>
    </row>
    <row r="404" spans="1:24" ht="48" x14ac:dyDescent="0.2">
      <c r="A404" s="9" t="s">
        <v>15</v>
      </c>
      <c r="B404" s="10" t="s">
        <v>529</v>
      </c>
      <c r="C404" s="8">
        <v>187</v>
      </c>
      <c r="D404" s="11" t="s">
        <v>34</v>
      </c>
      <c r="E404" s="12">
        <v>6.7</v>
      </c>
      <c r="F404" s="12">
        <v>1252.9000000000001</v>
      </c>
      <c r="G404" s="8">
        <v>29</v>
      </c>
      <c r="H404" s="8">
        <v>48</v>
      </c>
      <c r="I404" s="8">
        <v>63</v>
      </c>
      <c r="J404" s="55">
        <f>0.02*0.075*187</f>
        <v>0.28050000000000003</v>
      </c>
      <c r="K404" s="13">
        <v>700</v>
      </c>
      <c r="L404" s="13"/>
      <c r="N404" s="8">
        <v>0.72</v>
      </c>
      <c r="O404" s="8">
        <v>0.72</v>
      </c>
      <c r="P404" s="8">
        <v>0.72</v>
      </c>
      <c r="R404" s="8">
        <f>N404*K404*J404</f>
        <v>141.37200000000001</v>
      </c>
      <c r="S404" s="8">
        <f>O404*K404*J404</f>
        <v>141.37200000000001</v>
      </c>
      <c r="T404" s="8">
        <f>P404*K404*J404</f>
        <v>141.37200000000001</v>
      </c>
      <c r="V404" s="13">
        <v>0.33</v>
      </c>
      <c r="W404" s="13">
        <v>5.38</v>
      </c>
      <c r="X404" s="13">
        <v>16</v>
      </c>
    </row>
    <row r="405" spans="1:24" ht="48" x14ac:dyDescent="0.2">
      <c r="A405" s="9" t="s">
        <v>16</v>
      </c>
      <c r="B405" s="10" t="s">
        <v>530</v>
      </c>
      <c r="C405" s="8">
        <v>229</v>
      </c>
      <c r="D405" s="11" t="s">
        <v>34</v>
      </c>
      <c r="E405" s="12">
        <v>6.7</v>
      </c>
      <c r="F405" s="12">
        <v>1534.3</v>
      </c>
      <c r="G405" s="8">
        <v>29</v>
      </c>
      <c r="H405" s="8">
        <v>48</v>
      </c>
      <c r="I405" s="8">
        <v>63</v>
      </c>
      <c r="J405" s="55">
        <f>0.02*0.075*229</f>
        <v>0.34350000000000003</v>
      </c>
      <c r="K405" s="13">
        <v>700</v>
      </c>
      <c r="L405" s="13"/>
      <c r="N405" s="8">
        <v>0.72</v>
      </c>
      <c r="O405" s="8">
        <v>0.72</v>
      </c>
      <c r="P405" s="8">
        <v>0.72</v>
      </c>
      <c r="R405" s="8">
        <f t="shared" ref="R405:R408" si="134">N405*K405*J405</f>
        <v>173.12400000000002</v>
      </c>
      <c r="S405" s="8">
        <f t="shared" ref="S405:S408" si="135">O405*K405*J405</f>
        <v>173.12400000000002</v>
      </c>
      <c r="T405" s="8">
        <f t="shared" ref="T405:T408" si="136">P405*K405*J405</f>
        <v>173.12400000000002</v>
      </c>
      <c r="V405" s="13">
        <v>0.33</v>
      </c>
      <c r="W405" s="13">
        <v>5.38</v>
      </c>
      <c r="X405" s="13">
        <v>16</v>
      </c>
    </row>
    <row r="406" spans="1:24" ht="48" x14ac:dyDescent="0.2">
      <c r="A406" s="9" t="s">
        <v>17</v>
      </c>
      <c r="B406" s="10" t="s">
        <v>531</v>
      </c>
      <c r="C406" s="8">
        <v>349</v>
      </c>
      <c r="D406" s="11" t="s">
        <v>34</v>
      </c>
      <c r="E406" s="12">
        <v>6.7</v>
      </c>
      <c r="F406" s="12">
        <v>2338.3000000000002</v>
      </c>
      <c r="G406" s="8">
        <v>29</v>
      </c>
      <c r="H406" s="8">
        <v>48</v>
      </c>
      <c r="I406" s="8">
        <v>63</v>
      </c>
      <c r="J406" s="55">
        <f>0.02*0.075*349</f>
        <v>0.52349999999999997</v>
      </c>
      <c r="K406" s="13">
        <v>700</v>
      </c>
      <c r="L406" s="13"/>
      <c r="N406" s="8">
        <v>0.72</v>
      </c>
      <c r="O406" s="8">
        <v>0.72</v>
      </c>
      <c r="P406" s="8">
        <v>0.72</v>
      </c>
      <c r="R406" s="8">
        <f t="shared" si="134"/>
        <v>263.84399999999999</v>
      </c>
      <c r="S406" s="8">
        <f t="shared" si="135"/>
        <v>263.84399999999999</v>
      </c>
      <c r="T406" s="8">
        <f t="shared" si="136"/>
        <v>263.84399999999999</v>
      </c>
      <c r="V406" s="13">
        <v>0.33</v>
      </c>
      <c r="W406" s="13">
        <v>5.38</v>
      </c>
      <c r="X406" s="13">
        <v>16</v>
      </c>
    </row>
    <row r="407" spans="1:24" ht="48" x14ac:dyDescent="0.2">
      <c r="A407" s="9" t="s">
        <v>18</v>
      </c>
      <c r="B407" s="10" t="s">
        <v>532</v>
      </c>
      <c r="C407" s="8">
        <v>106</v>
      </c>
      <c r="D407" s="11" t="s">
        <v>34</v>
      </c>
      <c r="E407" s="12">
        <v>6.7</v>
      </c>
      <c r="F407" s="12">
        <v>710.2</v>
      </c>
      <c r="G407" s="8">
        <v>29</v>
      </c>
      <c r="H407" s="8">
        <v>48</v>
      </c>
      <c r="I407" s="8">
        <v>63</v>
      </c>
      <c r="J407" s="55">
        <f>0.02*0.075*106</f>
        <v>0.159</v>
      </c>
      <c r="K407" s="13">
        <v>700</v>
      </c>
      <c r="L407" s="13"/>
      <c r="N407" s="8">
        <v>0.72</v>
      </c>
      <c r="O407" s="8">
        <v>0.72</v>
      </c>
      <c r="P407" s="8">
        <v>0.72</v>
      </c>
      <c r="R407" s="8">
        <f t="shared" si="134"/>
        <v>80.135999999999996</v>
      </c>
      <c r="S407" s="8">
        <f t="shared" si="135"/>
        <v>80.135999999999996</v>
      </c>
      <c r="T407" s="8">
        <f t="shared" si="136"/>
        <v>80.135999999999996</v>
      </c>
      <c r="V407" s="13">
        <v>0.33</v>
      </c>
      <c r="W407" s="13">
        <v>5.38</v>
      </c>
      <c r="X407" s="13">
        <v>16</v>
      </c>
    </row>
    <row r="408" spans="1:24" ht="32" x14ac:dyDescent="0.2">
      <c r="A408" s="9" t="s">
        <v>19</v>
      </c>
      <c r="B408" s="10" t="s">
        <v>533</v>
      </c>
      <c r="C408" s="8">
        <v>13</v>
      </c>
      <c r="D408" s="11" t="s">
        <v>36</v>
      </c>
      <c r="E408" s="12">
        <v>56.7</v>
      </c>
      <c r="F408" s="12">
        <v>737.1</v>
      </c>
      <c r="G408" s="8">
        <v>12</v>
      </c>
      <c r="H408" s="8">
        <v>17</v>
      </c>
      <c r="I408" s="8">
        <v>24</v>
      </c>
      <c r="J408" s="55">
        <f t="shared" ref="J408:J419" si="137">0.000024*C408</f>
        <v>3.1199999999999999E-4</v>
      </c>
      <c r="K408" s="8">
        <v>7870</v>
      </c>
      <c r="N408" s="8">
        <v>2.0299999999999998</v>
      </c>
      <c r="O408" s="8">
        <v>2.0299999999999998</v>
      </c>
      <c r="P408" s="8">
        <v>2.0299999999999998</v>
      </c>
      <c r="R408" s="8">
        <f t="shared" si="134"/>
        <v>4.9845431999999992</v>
      </c>
      <c r="S408" s="8">
        <f t="shared" si="135"/>
        <v>4.9845431999999992</v>
      </c>
      <c r="T408" s="8">
        <f t="shared" si="136"/>
        <v>4.9845431999999992</v>
      </c>
      <c r="V408" s="13">
        <v>11.7</v>
      </c>
      <c r="W408" s="13">
        <v>25</v>
      </c>
      <c r="X408" s="13">
        <v>36.299999999999997</v>
      </c>
    </row>
    <row r="409" spans="1:24" ht="32" x14ac:dyDescent="0.2">
      <c r="A409" s="9" t="s">
        <v>20</v>
      </c>
      <c r="B409" s="10" t="s">
        <v>534</v>
      </c>
      <c r="C409" s="8">
        <v>2</v>
      </c>
      <c r="D409" s="11" t="s">
        <v>36</v>
      </c>
      <c r="E409" s="12">
        <v>35</v>
      </c>
      <c r="F409" s="12">
        <v>70</v>
      </c>
      <c r="G409" s="8">
        <v>12</v>
      </c>
      <c r="H409" s="8">
        <v>17</v>
      </c>
      <c r="I409" s="8">
        <v>24</v>
      </c>
      <c r="J409" s="55">
        <f t="shared" si="137"/>
        <v>4.8000000000000001E-5</v>
      </c>
      <c r="K409" s="8">
        <v>7870</v>
      </c>
      <c r="N409" s="8">
        <v>2.0299999999999998</v>
      </c>
      <c r="O409" s="8">
        <v>2.0299999999999998</v>
      </c>
      <c r="P409" s="8">
        <v>2.0299999999999998</v>
      </c>
      <c r="R409" s="8">
        <f t="shared" ref="R409:R419" si="138">N409*K409*J409</f>
        <v>0.7668528</v>
      </c>
      <c r="S409" s="8">
        <f t="shared" ref="S409:S419" si="139">O409*K409*J409</f>
        <v>0.7668528</v>
      </c>
      <c r="T409" s="8">
        <f t="shared" ref="T409:T419" si="140">P409*K409*J409</f>
        <v>0.7668528</v>
      </c>
      <c r="V409" s="13">
        <v>11.7</v>
      </c>
      <c r="W409" s="13">
        <v>25</v>
      </c>
      <c r="X409" s="13">
        <v>36.299999999999997</v>
      </c>
    </row>
    <row r="410" spans="1:24" ht="32" x14ac:dyDescent="0.2">
      <c r="A410" s="9" t="s">
        <v>21</v>
      </c>
      <c r="B410" s="10" t="s">
        <v>535</v>
      </c>
      <c r="C410" s="8">
        <v>15</v>
      </c>
      <c r="D410" s="11" t="s">
        <v>36</v>
      </c>
      <c r="E410" s="12">
        <v>58.64</v>
      </c>
      <c r="F410" s="12">
        <v>879.6</v>
      </c>
      <c r="G410" s="8">
        <v>12</v>
      </c>
      <c r="H410" s="8">
        <v>17</v>
      </c>
      <c r="I410" s="8">
        <v>24</v>
      </c>
      <c r="J410" s="55">
        <f t="shared" si="137"/>
        <v>3.6000000000000002E-4</v>
      </c>
      <c r="K410" s="8">
        <v>7870</v>
      </c>
      <c r="N410" s="8">
        <v>2.0299999999999998</v>
      </c>
      <c r="O410" s="8">
        <v>2.0299999999999998</v>
      </c>
      <c r="P410" s="8">
        <v>2.0299999999999998</v>
      </c>
      <c r="R410" s="8">
        <f t="shared" si="138"/>
        <v>5.7513959999999997</v>
      </c>
      <c r="S410" s="8">
        <f t="shared" si="139"/>
        <v>5.7513959999999997</v>
      </c>
      <c r="T410" s="8">
        <f t="shared" si="140"/>
        <v>5.7513959999999997</v>
      </c>
      <c r="V410" s="13">
        <v>11.7</v>
      </c>
      <c r="W410" s="13">
        <v>25</v>
      </c>
      <c r="X410" s="13">
        <v>36.299999999999997</v>
      </c>
    </row>
    <row r="411" spans="1:24" ht="32" x14ac:dyDescent="0.2">
      <c r="A411" s="9" t="s">
        <v>6</v>
      </c>
      <c r="B411" s="10" t="s">
        <v>536</v>
      </c>
      <c r="C411" s="8">
        <v>2</v>
      </c>
      <c r="D411" s="11" t="s">
        <v>36</v>
      </c>
      <c r="E411" s="12">
        <v>35</v>
      </c>
      <c r="F411" s="12">
        <v>70</v>
      </c>
      <c r="G411" s="8">
        <v>12</v>
      </c>
      <c r="H411" s="8">
        <v>17</v>
      </c>
      <c r="I411" s="8">
        <v>24</v>
      </c>
      <c r="J411" s="55">
        <f t="shared" si="137"/>
        <v>4.8000000000000001E-5</v>
      </c>
      <c r="K411" s="8">
        <v>7870</v>
      </c>
      <c r="N411" s="8">
        <v>2.0299999999999998</v>
      </c>
      <c r="O411" s="8">
        <v>2.0299999999999998</v>
      </c>
      <c r="P411" s="8">
        <v>2.0299999999999998</v>
      </c>
      <c r="R411" s="8">
        <f t="shared" si="138"/>
        <v>0.7668528</v>
      </c>
      <c r="S411" s="8">
        <f t="shared" si="139"/>
        <v>0.7668528</v>
      </c>
      <c r="T411" s="8">
        <f t="shared" si="140"/>
        <v>0.7668528</v>
      </c>
      <c r="V411" s="13">
        <v>11.7</v>
      </c>
      <c r="W411" s="13">
        <v>25</v>
      </c>
      <c r="X411" s="13">
        <v>36.299999999999997</v>
      </c>
    </row>
    <row r="412" spans="1:24" ht="32" x14ac:dyDescent="0.2">
      <c r="A412" s="9" t="s">
        <v>9</v>
      </c>
      <c r="B412" s="10" t="s">
        <v>537</v>
      </c>
      <c r="C412" s="8">
        <v>18</v>
      </c>
      <c r="D412" s="11" t="s">
        <v>36</v>
      </c>
      <c r="E412" s="12">
        <v>68.91</v>
      </c>
      <c r="F412" s="12">
        <v>1240.3800000000001</v>
      </c>
      <c r="G412" s="8">
        <v>12</v>
      </c>
      <c r="H412" s="8">
        <v>17</v>
      </c>
      <c r="I412" s="8">
        <v>24</v>
      </c>
      <c r="J412" s="55">
        <f t="shared" si="137"/>
        <v>4.3199999999999998E-4</v>
      </c>
      <c r="K412" s="8">
        <v>7870</v>
      </c>
      <c r="N412" s="8">
        <v>2.0299999999999998</v>
      </c>
      <c r="O412" s="8">
        <v>2.0299999999999998</v>
      </c>
      <c r="P412" s="8">
        <v>2.0299999999999998</v>
      </c>
      <c r="R412" s="8">
        <f t="shared" si="138"/>
        <v>6.9016751999999988</v>
      </c>
      <c r="S412" s="8">
        <f t="shared" si="139"/>
        <v>6.9016751999999988</v>
      </c>
      <c r="T412" s="8">
        <f t="shared" si="140"/>
        <v>6.9016751999999988</v>
      </c>
      <c r="V412" s="13">
        <v>11.7</v>
      </c>
      <c r="W412" s="13">
        <v>25</v>
      </c>
      <c r="X412" s="13">
        <v>36.299999999999997</v>
      </c>
    </row>
    <row r="413" spans="1:24" ht="32" x14ac:dyDescent="0.2">
      <c r="A413" s="9" t="s">
        <v>10</v>
      </c>
      <c r="B413" s="10" t="s">
        <v>538</v>
      </c>
      <c r="C413" s="8">
        <v>18</v>
      </c>
      <c r="D413" s="11" t="s">
        <v>36</v>
      </c>
      <c r="E413" s="12">
        <v>35</v>
      </c>
      <c r="F413" s="12">
        <v>630</v>
      </c>
      <c r="G413" s="8">
        <v>12</v>
      </c>
      <c r="H413" s="8">
        <v>17</v>
      </c>
      <c r="I413" s="8">
        <v>24</v>
      </c>
      <c r="J413" s="55">
        <f t="shared" si="137"/>
        <v>4.3199999999999998E-4</v>
      </c>
      <c r="K413" s="8">
        <v>7870</v>
      </c>
      <c r="N413" s="8">
        <v>2.0299999999999998</v>
      </c>
      <c r="O413" s="8">
        <v>2.0299999999999998</v>
      </c>
      <c r="P413" s="8">
        <v>2.0299999999999998</v>
      </c>
      <c r="R413" s="8">
        <f t="shared" si="138"/>
        <v>6.9016751999999988</v>
      </c>
      <c r="S413" s="8">
        <f t="shared" si="139"/>
        <v>6.9016751999999988</v>
      </c>
      <c r="T413" s="8">
        <f t="shared" si="140"/>
        <v>6.9016751999999988</v>
      </c>
      <c r="V413" s="13">
        <v>11.7</v>
      </c>
      <c r="W413" s="13">
        <v>25</v>
      </c>
      <c r="X413" s="13">
        <v>36.299999999999997</v>
      </c>
    </row>
    <row r="414" spans="1:24" ht="32" x14ac:dyDescent="0.2">
      <c r="A414" s="9" t="s">
        <v>11</v>
      </c>
      <c r="B414" s="10" t="s">
        <v>539</v>
      </c>
      <c r="C414" s="8">
        <v>6</v>
      </c>
      <c r="D414" s="11" t="s">
        <v>36</v>
      </c>
      <c r="E414" s="12">
        <v>63.98</v>
      </c>
      <c r="F414" s="12">
        <v>383.88</v>
      </c>
      <c r="G414" s="8">
        <v>12</v>
      </c>
      <c r="H414" s="8">
        <v>17</v>
      </c>
      <c r="I414" s="8">
        <v>24</v>
      </c>
      <c r="J414" s="55">
        <f t="shared" si="137"/>
        <v>1.44E-4</v>
      </c>
      <c r="K414" s="8">
        <v>7870</v>
      </c>
      <c r="N414" s="8">
        <v>2.0299999999999998</v>
      </c>
      <c r="O414" s="8">
        <v>2.0299999999999998</v>
      </c>
      <c r="P414" s="8">
        <v>2.0299999999999998</v>
      </c>
      <c r="R414" s="8">
        <f t="shared" si="138"/>
        <v>2.3005583999999999</v>
      </c>
      <c r="S414" s="8">
        <f t="shared" si="139"/>
        <v>2.3005583999999999</v>
      </c>
      <c r="T414" s="8">
        <f t="shared" si="140"/>
        <v>2.3005583999999999</v>
      </c>
      <c r="V414" s="13">
        <v>11.7</v>
      </c>
      <c r="W414" s="13">
        <v>25</v>
      </c>
      <c r="X414" s="13">
        <v>36.299999999999997</v>
      </c>
    </row>
    <row r="415" spans="1:24" ht="32" x14ac:dyDescent="0.2">
      <c r="A415" s="9" t="s">
        <v>12</v>
      </c>
      <c r="B415" s="10" t="s">
        <v>540</v>
      </c>
      <c r="C415" s="8">
        <v>4</v>
      </c>
      <c r="D415" s="11" t="s">
        <v>36</v>
      </c>
      <c r="E415" s="12">
        <v>35</v>
      </c>
      <c r="F415" s="12">
        <v>140</v>
      </c>
      <c r="G415" s="8">
        <v>12</v>
      </c>
      <c r="H415" s="8">
        <v>17</v>
      </c>
      <c r="I415" s="8">
        <v>24</v>
      </c>
      <c r="J415" s="55">
        <f t="shared" si="137"/>
        <v>9.6000000000000002E-5</v>
      </c>
      <c r="K415" s="8">
        <v>7870</v>
      </c>
      <c r="N415" s="8">
        <v>2.0299999999999998</v>
      </c>
      <c r="O415" s="8">
        <v>2.0299999999999998</v>
      </c>
      <c r="P415" s="8">
        <v>2.0299999999999998</v>
      </c>
      <c r="R415" s="8">
        <f t="shared" si="138"/>
        <v>1.5337056</v>
      </c>
      <c r="S415" s="8">
        <f t="shared" si="139"/>
        <v>1.5337056</v>
      </c>
      <c r="T415" s="8">
        <f t="shared" si="140"/>
        <v>1.5337056</v>
      </c>
      <c r="V415" s="13">
        <v>11.7</v>
      </c>
      <c r="W415" s="13">
        <v>25</v>
      </c>
      <c r="X415" s="13">
        <v>36.299999999999997</v>
      </c>
    </row>
    <row r="416" spans="1:24" ht="32" x14ac:dyDescent="0.2">
      <c r="A416" s="9" t="s">
        <v>13</v>
      </c>
      <c r="B416" s="10" t="s">
        <v>533</v>
      </c>
      <c r="C416" s="8">
        <v>7</v>
      </c>
      <c r="D416" s="11" t="s">
        <v>36</v>
      </c>
      <c r="E416" s="12">
        <v>29</v>
      </c>
      <c r="F416" s="12">
        <v>203</v>
      </c>
      <c r="G416" s="8">
        <v>12</v>
      </c>
      <c r="H416" s="8">
        <v>17</v>
      </c>
      <c r="I416" s="8">
        <v>24</v>
      </c>
      <c r="J416" s="55">
        <f t="shared" si="137"/>
        <v>1.6800000000000002E-4</v>
      </c>
      <c r="K416" s="8">
        <v>7870</v>
      </c>
      <c r="N416" s="8">
        <v>2.0299999999999998</v>
      </c>
      <c r="O416" s="8">
        <v>2.0299999999999998</v>
      </c>
      <c r="P416" s="8">
        <v>2.0299999999999998</v>
      </c>
      <c r="R416" s="8">
        <f t="shared" si="138"/>
        <v>2.6839848000000002</v>
      </c>
      <c r="S416" s="8">
        <f t="shared" si="139"/>
        <v>2.6839848000000002</v>
      </c>
      <c r="T416" s="8">
        <f t="shared" si="140"/>
        <v>2.6839848000000002</v>
      </c>
      <c r="V416" s="13">
        <v>11.7</v>
      </c>
      <c r="W416" s="13">
        <v>25</v>
      </c>
      <c r="X416" s="13">
        <v>36.299999999999997</v>
      </c>
    </row>
    <row r="417" spans="1:24" ht="32" x14ac:dyDescent="0.2">
      <c r="A417" s="9" t="s">
        <v>14</v>
      </c>
      <c r="B417" s="10" t="s">
        <v>535</v>
      </c>
      <c r="C417" s="8">
        <v>8</v>
      </c>
      <c r="D417" s="11" t="s">
        <v>36</v>
      </c>
      <c r="E417" s="12">
        <v>29</v>
      </c>
      <c r="F417" s="12">
        <v>232</v>
      </c>
      <c r="G417" s="8">
        <v>12</v>
      </c>
      <c r="H417" s="8">
        <v>17</v>
      </c>
      <c r="I417" s="8">
        <v>24</v>
      </c>
      <c r="J417" s="55">
        <f t="shared" si="137"/>
        <v>1.92E-4</v>
      </c>
      <c r="K417" s="8">
        <v>7870</v>
      </c>
      <c r="N417" s="8">
        <v>2.0299999999999998</v>
      </c>
      <c r="O417" s="8">
        <v>2.0299999999999998</v>
      </c>
      <c r="P417" s="8">
        <v>2.0299999999999998</v>
      </c>
      <c r="R417" s="8">
        <f t="shared" si="138"/>
        <v>3.0674112</v>
      </c>
      <c r="S417" s="8">
        <f t="shared" si="139"/>
        <v>3.0674112</v>
      </c>
      <c r="T417" s="8">
        <f t="shared" si="140"/>
        <v>3.0674112</v>
      </c>
      <c r="V417" s="13">
        <v>11.7</v>
      </c>
      <c r="W417" s="13">
        <v>25</v>
      </c>
      <c r="X417" s="13">
        <v>36.299999999999997</v>
      </c>
    </row>
    <row r="418" spans="1:24" ht="32" x14ac:dyDescent="0.2">
      <c r="A418" s="9" t="s">
        <v>15</v>
      </c>
      <c r="B418" s="10" t="s">
        <v>537</v>
      </c>
      <c r="C418" s="8">
        <v>11</v>
      </c>
      <c r="D418" s="11" t="s">
        <v>36</v>
      </c>
      <c r="E418" s="12">
        <v>29</v>
      </c>
      <c r="F418" s="12">
        <v>319</v>
      </c>
      <c r="G418" s="8">
        <v>12</v>
      </c>
      <c r="H418" s="8">
        <v>17</v>
      </c>
      <c r="I418" s="8">
        <v>24</v>
      </c>
      <c r="J418" s="55">
        <f t="shared" si="137"/>
        <v>2.6400000000000002E-4</v>
      </c>
      <c r="K418" s="8">
        <v>7870</v>
      </c>
      <c r="N418" s="8">
        <v>2.0299999999999998</v>
      </c>
      <c r="O418" s="8">
        <v>2.0299999999999998</v>
      </c>
      <c r="P418" s="8">
        <v>2.0299999999999998</v>
      </c>
      <c r="R418" s="8">
        <f t="shared" si="138"/>
        <v>4.2176903999999995</v>
      </c>
      <c r="S418" s="8">
        <f t="shared" si="139"/>
        <v>4.2176903999999995</v>
      </c>
      <c r="T418" s="8">
        <f t="shared" si="140"/>
        <v>4.2176903999999995</v>
      </c>
      <c r="V418" s="13">
        <v>11.7</v>
      </c>
      <c r="W418" s="13">
        <v>25</v>
      </c>
      <c r="X418" s="13">
        <v>36.299999999999997</v>
      </c>
    </row>
    <row r="419" spans="1:24" ht="32" x14ac:dyDescent="0.2">
      <c r="A419" s="9" t="s">
        <v>16</v>
      </c>
      <c r="B419" s="10" t="s">
        <v>539</v>
      </c>
      <c r="C419" s="8">
        <v>3</v>
      </c>
      <c r="D419" s="11" t="s">
        <v>36</v>
      </c>
      <c r="E419" s="12">
        <v>29</v>
      </c>
      <c r="F419" s="12">
        <v>87</v>
      </c>
      <c r="G419" s="8">
        <v>12</v>
      </c>
      <c r="H419" s="8">
        <v>17</v>
      </c>
      <c r="I419" s="8">
        <v>24</v>
      </c>
      <c r="J419" s="55">
        <f t="shared" si="137"/>
        <v>7.2000000000000002E-5</v>
      </c>
      <c r="K419" s="8">
        <v>7870</v>
      </c>
      <c r="N419" s="8">
        <v>2.0299999999999998</v>
      </c>
      <c r="O419" s="8">
        <v>2.0299999999999998</v>
      </c>
      <c r="P419" s="8">
        <v>2.0299999999999998</v>
      </c>
      <c r="R419" s="8">
        <f t="shared" si="138"/>
        <v>1.1502791999999999</v>
      </c>
      <c r="S419" s="8">
        <f t="shared" si="139"/>
        <v>1.1502791999999999</v>
      </c>
      <c r="T419" s="8">
        <f t="shared" si="140"/>
        <v>1.1502791999999999</v>
      </c>
      <c r="V419" s="13">
        <v>11.7</v>
      </c>
      <c r="W419" s="13">
        <v>25</v>
      </c>
      <c r="X419" s="13">
        <v>36.299999999999997</v>
      </c>
    </row>
    <row r="420" spans="1:24" ht="32" x14ac:dyDescent="0.2">
      <c r="A420" s="9" t="s">
        <v>17</v>
      </c>
      <c r="B420" s="10" t="s">
        <v>541</v>
      </c>
      <c r="C420" s="8">
        <v>101</v>
      </c>
      <c r="D420" s="11" t="s">
        <v>34</v>
      </c>
      <c r="E420" s="12">
        <v>1.25</v>
      </c>
      <c r="F420" s="12">
        <v>126.25</v>
      </c>
      <c r="G420" s="8">
        <v>5</v>
      </c>
      <c r="H420" s="8">
        <v>15</v>
      </c>
      <c r="I420" s="8">
        <v>25</v>
      </c>
      <c r="J420" s="55">
        <f>0.01*1*101</f>
        <v>1.01</v>
      </c>
      <c r="K420" s="8">
        <v>1700</v>
      </c>
      <c r="L420" s="1" t="s">
        <v>930</v>
      </c>
      <c r="N420" s="8">
        <v>0.435</v>
      </c>
      <c r="O420" s="8">
        <v>0.435</v>
      </c>
      <c r="P420" s="8">
        <v>0.435</v>
      </c>
      <c r="Q420" s="8" t="s">
        <v>929</v>
      </c>
      <c r="R420" s="8">
        <f>N420*C420</f>
        <v>43.935000000000002</v>
      </c>
      <c r="S420" s="8">
        <f>O420*C420</f>
        <v>43.935000000000002</v>
      </c>
      <c r="T420" s="8">
        <f>P420*C420</f>
        <v>43.935000000000002</v>
      </c>
      <c r="V420" s="13">
        <v>8</v>
      </c>
      <c r="W420" s="13">
        <v>8</v>
      </c>
      <c r="X420" s="13">
        <v>8</v>
      </c>
    </row>
    <row r="421" spans="1:24" ht="32" x14ac:dyDescent="0.2">
      <c r="A421" s="9" t="s">
        <v>18</v>
      </c>
      <c r="B421" s="10" t="s">
        <v>542</v>
      </c>
      <c r="C421" s="8">
        <v>115</v>
      </c>
      <c r="D421" s="11" t="s">
        <v>34</v>
      </c>
      <c r="E421" s="12">
        <v>1.25</v>
      </c>
      <c r="F421" s="12">
        <v>143.75</v>
      </c>
      <c r="G421" s="8">
        <v>5</v>
      </c>
      <c r="H421" s="8">
        <v>15</v>
      </c>
      <c r="I421" s="8">
        <v>25</v>
      </c>
      <c r="J421" s="55">
        <f>0.01*0.01*115</f>
        <v>1.15E-2</v>
      </c>
      <c r="K421" s="8">
        <v>1700</v>
      </c>
      <c r="N421" s="8">
        <v>0.435</v>
      </c>
      <c r="O421" s="8">
        <v>0.435</v>
      </c>
      <c r="P421" s="8">
        <v>0.435</v>
      </c>
      <c r="R421" s="8">
        <f t="shared" ref="R421:R423" si="141">N421*C421</f>
        <v>50.024999999999999</v>
      </c>
      <c r="S421" s="8">
        <f t="shared" ref="S421:S423" si="142">O421*C421</f>
        <v>50.024999999999999</v>
      </c>
      <c r="T421" s="8">
        <f t="shared" ref="T421:T423" si="143">P421*C421</f>
        <v>50.024999999999999</v>
      </c>
      <c r="V421" s="13">
        <v>8</v>
      </c>
      <c r="W421" s="13">
        <v>8</v>
      </c>
      <c r="X421" s="13">
        <v>8</v>
      </c>
    </row>
    <row r="422" spans="1:24" ht="48" x14ac:dyDescent="0.2">
      <c r="A422" s="9" t="s">
        <v>19</v>
      </c>
      <c r="B422" s="10" t="s">
        <v>543</v>
      </c>
      <c r="C422" s="8">
        <v>174</v>
      </c>
      <c r="D422" s="11" t="s">
        <v>34</v>
      </c>
      <c r="E422" s="12">
        <v>1.99</v>
      </c>
      <c r="F422" s="12">
        <v>346.26</v>
      </c>
      <c r="G422" s="8">
        <v>5</v>
      </c>
      <c r="H422" s="8">
        <v>15</v>
      </c>
      <c r="I422" s="8">
        <v>25</v>
      </c>
      <c r="J422" s="55">
        <f>0.01*0.01*174</f>
        <v>1.7400000000000002E-2</v>
      </c>
      <c r="K422" s="8">
        <v>1700</v>
      </c>
      <c r="N422" s="8">
        <v>0.435</v>
      </c>
      <c r="O422" s="8">
        <v>0.435</v>
      </c>
      <c r="P422" s="8">
        <v>0.435</v>
      </c>
      <c r="R422" s="8">
        <f t="shared" si="141"/>
        <v>75.69</v>
      </c>
      <c r="S422" s="8">
        <f t="shared" si="142"/>
        <v>75.69</v>
      </c>
      <c r="T422" s="8">
        <f t="shared" si="143"/>
        <v>75.69</v>
      </c>
      <c r="V422" s="13">
        <v>8</v>
      </c>
      <c r="W422" s="13">
        <v>8</v>
      </c>
      <c r="X422" s="13">
        <v>8</v>
      </c>
    </row>
    <row r="423" spans="1:24" ht="32" x14ac:dyDescent="0.2">
      <c r="A423" s="9" t="s">
        <v>20</v>
      </c>
      <c r="B423" s="10" t="s">
        <v>544</v>
      </c>
      <c r="C423" s="8">
        <v>53</v>
      </c>
      <c r="D423" s="11" t="s">
        <v>34</v>
      </c>
      <c r="E423" s="12">
        <v>1.25</v>
      </c>
      <c r="F423" s="12">
        <v>66.25</v>
      </c>
      <c r="G423" s="8">
        <v>5</v>
      </c>
      <c r="H423" s="8">
        <v>15</v>
      </c>
      <c r="I423" s="8">
        <v>25</v>
      </c>
      <c r="J423" s="55">
        <f>0.01*0.01*53</f>
        <v>5.3E-3</v>
      </c>
      <c r="K423" s="8">
        <v>1700</v>
      </c>
      <c r="N423" s="8">
        <v>0.435</v>
      </c>
      <c r="O423" s="8">
        <v>0.435</v>
      </c>
      <c r="P423" s="8">
        <v>0.435</v>
      </c>
      <c r="R423" s="8">
        <f t="shared" si="141"/>
        <v>23.055</v>
      </c>
      <c r="S423" s="8">
        <f t="shared" si="142"/>
        <v>23.055</v>
      </c>
      <c r="T423" s="8">
        <f t="shared" si="143"/>
        <v>23.055</v>
      </c>
      <c r="V423" s="13">
        <v>8</v>
      </c>
      <c r="W423" s="13">
        <v>8</v>
      </c>
      <c r="X423" s="13">
        <v>8</v>
      </c>
    </row>
    <row r="424" spans="1:24" ht="48" x14ac:dyDescent="0.2">
      <c r="A424" s="9" t="s">
        <v>6</v>
      </c>
      <c r="B424" s="10" t="s">
        <v>545</v>
      </c>
      <c r="C424" s="8">
        <v>1654</v>
      </c>
      <c r="D424" s="11" t="s">
        <v>35</v>
      </c>
      <c r="E424" s="12">
        <v>8.4</v>
      </c>
      <c r="F424" s="12">
        <v>13893.6</v>
      </c>
      <c r="G424" s="8">
        <v>26</v>
      </c>
      <c r="H424" s="8">
        <v>39</v>
      </c>
      <c r="I424" s="8">
        <v>51</v>
      </c>
      <c r="J424" s="55">
        <f>0.0125*C424</f>
        <v>20.675000000000001</v>
      </c>
      <c r="K424" s="13">
        <v>950</v>
      </c>
      <c r="L424" s="13"/>
      <c r="N424" s="13">
        <v>0.39</v>
      </c>
      <c r="O424" s="13">
        <v>0.39</v>
      </c>
      <c r="P424" s="13">
        <v>0.39</v>
      </c>
      <c r="R424" s="8">
        <f>N424*K424*J424</f>
        <v>7660.0875000000005</v>
      </c>
      <c r="S424" s="8">
        <f>O424*K424*J424</f>
        <v>7660.0875000000005</v>
      </c>
      <c r="T424" s="8">
        <f>P424*K424*J424</f>
        <v>7660.0875000000005</v>
      </c>
      <c r="V424" s="13">
        <v>6.75</v>
      </c>
      <c r="W424" s="13">
        <v>6.75</v>
      </c>
      <c r="X424" s="13">
        <v>6.75</v>
      </c>
    </row>
    <row r="425" spans="1:24" ht="48" x14ac:dyDescent="0.2">
      <c r="A425" s="9" t="s">
        <v>9</v>
      </c>
      <c r="B425" s="10" t="s">
        <v>546</v>
      </c>
      <c r="C425" s="8">
        <v>356</v>
      </c>
      <c r="D425" s="11" t="s">
        <v>34</v>
      </c>
      <c r="E425" s="12">
        <v>5.3</v>
      </c>
      <c r="F425" s="12">
        <v>1886.8</v>
      </c>
      <c r="G425" s="8">
        <v>26</v>
      </c>
      <c r="H425" s="8">
        <v>39</v>
      </c>
      <c r="I425" s="8">
        <v>51</v>
      </c>
      <c r="J425" s="55">
        <f>0.0125*C425*0.3</f>
        <v>1.335</v>
      </c>
      <c r="K425" s="13">
        <v>950</v>
      </c>
      <c r="L425" s="13"/>
      <c r="N425" s="13">
        <v>0.39</v>
      </c>
      <c r="O425" s="13">
        <v>0.39</v>
      </c>
      <c r="P425" s="13">
        <v>0.39</v>
      </c>
      <c r="R425" s="8">
        <f>N425*K425*J425</f>
        <v>494.61750000000001</v>
      </c>
      <c r="S425" s="8">
        <f>O425*K425*J425</f>
        <v>494.61750000000001</v>
      </c>
      <c r="T425" s="8">
        <f>P425*K425*J425</f>
        <v>494.61750000000001</v>
      </c>
      <c r="V425" s="13">
        <v>6.75</v>
      </c>
      <c r="W425" s="13">
        <v>6.75</v>
      </c>
      <c r="X425" s="13">
        <v>6.75</v>
      </c>
    </row>
    <row r="426" spans="1:24" ht="48" x14ac:dyDescent="0.2">
      <c r="A426" s="9" t="s">
        <v>10</v>
      </c>
      <c r="B426" s="10" t="s">
        <v>547</v>
      </c>
      <c r="C426" s="8">
        <v>218</v>
      </c>
      <c r="D426" s="11" t="s">
        <v>35</v>
      </c>
      <c r="E426" s="12">
        <v>6.4</v>
      </c>
      <c r="F426" s="12">
        <v>1395.2</v>
      </c>
      <c r="G426" s="8">
        <v>28</v>
      </c>
      <c r="H426" s="8">
        <v>42</v>
      </c>
      <c r="I426" s="8">
        <v>53</v>
      </c>
      <c r="J426" s="55">
        <f>0.0125*C426</f>
        <v>2.7250000000000001</v>
      </c>
      <c r="K426" s="8">
        <v>350</v>
      </c>
      <c r="N426" s="8">
        <v>1.0900000000000001</v>
      </c>
      <c r="O426" s="8">
        <v>1.0900000000000001</v>
      </c>
      <c r="P426" s="8">
        <v>1.0900000000000001</v>
      </c>
      <c r="R426" s="8">
        <f t="shared" ref="R426:R428" si="144">N426*K426*J426</f>
        <v>1039.5875000000001</v>
      </c>
      <c r="S426" s="8">
        <f t="shared" ref="S426:S428" si="145">O426*K426*J426</f>
        <v>1039.5875000000001</v>
      </c>
      <c r="T426" s="8">
        <f t="shared" ref="T426:T428" si="146">P426*K426*J426</f>
        <v>1039.5875000000001</v>
      </c>
      <c r="V426" s="13">
        <v>7.28</v>
      </c>
      <c r="W426" s="13">
        <v>10.4</v>
      </c>
      <c r="X426" s="13">
        <v>13.52</v>
      </c>
    </row>
    <row r="427" spans="1:24" ht="48" x14ac:dyDescent="0.2">
      <c r="A427" s="9" t="s">
        <v>11</v>
      </c>
      <c r="B427" s="10" t="s">
        <v>548</v>
      </c>
      <c r="C427" s="8">
        <v>66</v>
      </c>
      <c r="D427" s="11" t="s">
        <v>34</v>
      </c>
      <c r="E427" s="12">
        <v>4.25</v>
      </c>
      <c r="F427" s="12">
        <v>280.5</v>
      </c>
      <c r="G427" s="8">
        <v>28</v>
      </c>
      <c r="H427" s="8">
        <v>42</v>
      </c>
      <c r="I427" s="8">
        <v>53</v>
      </c>
      <c r="J427" s="55">
        <f>0.0125*C427*0.3</f>
        <v>0.2475</v>
      </c>
      <c r="K427" s="8">
        <v>350</v>
      </c>
      <c r="N427" s="8">
        <v>1.0900000000000001</v>
      </c>
      <c r="O427" s="8">
        <v>1.0900000000000001</v>
      </c>
      <c r="P427" s="8">
        <v>1.0900000000000001</v>
      </c>
      <c r="R427" s="8">
        <f t="shared" si="144"/>
        <v>94.421250000000001</v>
      </c>
      <c r="S427" s="8">
        <f t="shared" si="145"/>
        <v>94.421250000000001</v>
      </c>
      <c r="T427" s="8">
        <f t="shared" si="146"/>
        <v>94.421250000000001</v>
      </c>
      <c r="V427" s="13">
        <v>7.28</v>
      </c>
      <c r="W427" s="13">
        <v>10.4</v>
      </c>
      <c r="X427" s="13">
        <v>13.52</v>
      </c>
    </row>
    <row r="428" spans="1:24" ht="112" x14ac:dyDescent="0.2">
      <c r="A428" s="9" t="s">
        <v>12</v>
      </c>
      <c r="B428" s="10" t="s">
        <v>549</v>
      </c>
      <c r="C428" s="8">
        <v>80</v>
      </c>
      <c r="D428" s="11" t="s">
        <v>35</v>
      </c>
      <c r="E428" s="12">
        <v>43.04</v>
      </c>
      <c r="F428" s="12">
        <v>3443.2</v>
      </c>
      <c r="G428" s="8">
        <v>41</v>
      </c>
      <c r="H428" s="8">
        <v>68</v>
      </c>
      <c r="I428" s="8">
        <v>107</v>
      </c>
      <c r="J428" s="55">
        <f>0.015*C428</f>
        <v>1.2</v>
      </c>
      <c r="K428" s="13">
        <v>950</v>
      </c>
      <c r="L428" s="13"/>
      <c r="N428" s="8">
        <v>0.39</v>
      </c>
      <c r="O428" s="8">
        <v>0.39</v>
      </c>
      <c r="P428" s="8">
        <v>0.39</v>
      </c>
      <c r="R428" s="8">
        <f t="shared" si="144"/>
        <v>444.59999999999997</v>
      </c>
      <c r="S428" s="8">
        <f t="shared" si="145"/>
        <v>444.59999999999997</v>
      </c>
      <c r="T428" s="8">
        <f t="shared" si="146"/>
        <v>444.59999999999997</v>
      </c>
      <c r="V428" s="13">
        <v>6.75</v>
      </c>
      <c r="W428" s="13">
        <v>6.75</v>
      </c>
      <c r="X428" s="13">
        <v>6.75</v>
      </c>
    </row>
    <row r="429" spans="1:24" ht="112" x14ac:dyDescent="0.2">
      <c r="A429" s="9" t="s">
        <v>13</v>
      </c>
      <c r="B429" s="10" t="s">
        <v>550</v>
      </c>
      <c r="C429" s="8">
        <v>27</v>
      </c>
      <c r="D429" s="11" t="s">
        <v>34</v>
      </c>
      <c r="E429" s="12">
        <v>23.87</v>
      </c>
      <c r="F429" s="12">
        <v>644.49</v>
      </c>
      <c r="G429" s="8">
        <v>41</v>
      </c>
      <c r="H429" s="8">
        <v>68</v>
      </c>
      <c r="I429" s="8">
        <v>107</v>
      </c>
      <c r="J429" s="55">
        <f>0.015*C429*0.3</f>
        <v>0.12149999999999998</v>
      </c>
      <c r="K429" s="13">
        <v>950</v>
      </c>
      <c r="L429" s="13"/>
      <c r="N429" s="8">
        <v>0.39</v>
      </c>
      <c r="O429" s="8">
        <v>0.39</v>
      </c>
      <c r="P429" s="8">
        <v>0.39</v>
      </c>
      <c r="R429" s="8">
        <f t="shared" ref="R429:R431" si="147">N429*K429*J429</f>
        <v>45.015749999999997</v>
      </c>
      <c r="S429" s="8">
        <f t="shared" ref="S429:S431" si="148">O429*K429*J429</f>
        <v>45.015749999999997</v>
      </c>
      <c r="T429" s="8">
        <f t="shared" ref="T429:T431" si="149">P429*K429*J429</f>
        <v>45.015749999999997</v>
      </c>
      <c r="V429" s="13">
        <v>6.75</v>
      </c>
      <c r="W429" s="13">
        <v>6.75</v>
      </c>
      <c r="X429" s="13">
        <v>6.75</v>
      </c>
    </row>
    <row r="430" spans="1:24" ht="48" x14ac:dyDescent="0.2">
      <c r="A430" s="9" t="s">
        <v>14</v>
      </c>
      <c r="B430" s="10" t="s">
        <v>551</v>
      </c>
      <c r="C430" s="8">
        <v>3666</v>
      </c>
      <c r="D430" s="11" t="s">
        <v>35</v>
      </c>
      <c r="E430" s="12">
        <v>5</v>
      </c>
      <c r="F430" s="12">
        <v>18330</v>
      </c>
      <c r="G430" s="8">
        <v>23</v>
      </c>
      <c r="H430" s="8">
        <v>38</v>
      </c>
      <c r="I430" s="8">
        <v>48</v>
      </c>
      <c r="J430" s="55">
        <f>0.003*C430</f>
        <v>10.998000000000001</v>
      </c>
      <c r="K430" s="13">
        <v>950</v>
      </c>
      <c r="L430" s="13"/>
      <c r="N430" s="8">
        <v>0.39</v>
      </c>
      <c r="O430" s="8">
        <v>0.39</v>
      </c>
      <c r="P430" s="8">
        <v>0.39</v>
      </c>
      <c r="R430" s="8">
        <f t="shared" si="147"/>
        <v>4074.7590000000005</v>
      </c>
      <c r="S430" s="8">
        <f t="shared" si="148"/>
        <v>4074.7590000000005</v>
      </c>
      <c r="T430" s="8">
        <f t="shared" si="149"/>
        <v>4074.7590000000005</v>
      </c>
      <c r="V430" s="13">
        <v>6.75</v>
      </c>
      <c r="W430" s="13">
        <v>6.75</v>
      </c>
      <c r="X430" s="13">
        <v>6.75</v>
      </c>
    </row>
    <row r="431" spans="1:24" ht="48" x14ac:dyDescent="0.2">
      <c r="A431" s="9" t="s">
        <v>15</v>
      </c>
      <c r="B431" s="10" t="s">
        <v>552</v>
      </c>
      <c r="C431" s="8">
        <v>645</v>
      </c>
      <c r="D431" s="11" t="s">
        <v>34</v>
      </c>
      <c r="E431" s="12">
        <v>3</v>
      </c>
      <c r="F431" s="12">
        <v>1935</v>
      </c>
      <c r="G431" s="8">
        <v>23</v>
      </c>
      <c r="H431" s="8">
        <v>38</v>
      </c>
      <c r="I431" s="8">
        <v>48</v>
      </c>
      <c r="J431" s="55">
        <f>0.003*C431*0.3</f>
        <v>0.58050000000000002</v>
      </c>
      <c r="K431" s="13">
        <v>950</v>
      </c>
      <c r="L431" s="13"/>
      <c r="N431" s="8">
        <v>0.39</v>
      </c>
      <c r="O431" s="8">
        <v>0.39</v>
      </c>
      <c r="P431" s="8">
        <v>0.39</v>
      </c>
      <c r="R431" s="8">
        <f t="shared" si="147"/>
        <v>215.07525000000001</v>
      </c>
      <c r="S431" s="8">
        <f t="shared" si="148"/>
        <v>215.07525000000001</v>
      </c>
      <c r="T431" s="8">
        <f t="shared" si="149"/>
        <v>215.07525000000001</v>
      </c>
      <c r="V431" s="13">
        <v>6.75</v>
      </c>
      <c r="W431" s="13">
        <v>6.75</v>
      </c>
      <c r="X431" s="13">
        <v>6.75</v>
      </c>
    </row>
    <row r="432" spans="1:24" ht="16" x14ac:dyDescent="0.2">
      <c r="A432" s="9" t="s">
        <v>16</v>
      </c>
      <c r="B432" s="10" t="s">
        <v>52</v>
      </c>
      <c r="C432" s="8">
        <v>778</v>
      </c>
      <c r="D432" s="11" t="s">
        <v>34</v>
      </c>
      <c r="E432" s="12">
        <v>1.65</v>
      </c>
      <c r="F432" s="12">
        <v>1283.7</v>
      </c>
      <c r="V432" s="13"/>
      <c r="W432" s="13"/>
      <c r="X432" s="13"/>
    </row>
    <row r="433" spans="1:24" ht="48" x14ac:dyDescent="0.2">
      <c r="A433" s="9" t="s">
        <v>6</v>
      </c>
      <c r="B433" s="10" t="s">
        <v>553</v>
      </c>
      <c r="C433" s="8">
        <v>312</v>
      </c>
      <c r="D433" s="11" t="s">
        <v>35</v>
      </c>
      <c r="E433" s="12">
        <v>46</v>
      </c>
      <c r="F433" s="12">
        <v>14352</v>
      </c>
      <c r="G433" s="8">
        <v>16</v>
      </c>
      <c r="H433" s="8">
        <v>27</v>
      </c>
      <c r="I433" s="8">
        <v>41</v>
      </c>
      <c r="J433" s="55">
        <f>0.005*C433</f>
        <v>1.56</v>
      </c>
      <c r="K433" s="8">
        <v>2000</v>
      </c>
      <c r="N433" s="8">
        <v>0.78</v>
      </c>
      <c r="O433" s="8">
        <v>0.78</v>
      </c>
      <c r="P433" s="8">
        <v>0.78</v>
      </c>
      <c r="R433" s="8">
        <f t="shared" ref="R433:R434" si="150">N433*K433*J433</f>
        <v>2433.6</v>
      </c>
      <c r="S433" s="8">
        <f t="shared" ref="S433:S434" si="151">O433*K433*J433</f>
        <v>2433.6</v>
      </c>
      <c r="T433" s="8">
        <f t="shared" ref="T433:T434" si="152">P433*K433*J433</f>
        <v>2433.6</v>
      </c>
      <c r="V433" s="13">
        <v>2.5</v>
      </c>
      <c r="W433" s="13">
        <v>12</v>
      </c>
      <c r="X433" s="13">
        <v>19.5</v>
      </c>
    </row>
    <row r="434" spans="1:24" ht="48" x14ac:dyDescent="0.2">
      <c r="A434" s="9" t="s">
        <v>9</v>
      </c>
      <c r="B434" s="10" t="s">
        <v>554</v>
      </c>
      <c r="C434" s="8">
        <v>42</v>
      </c>
      <c r="D434" s="11" t="s">
        <v>34</v>
      </c>
      <c r="E434" s="12">
        <v>13.8</v>
      </c>
      <c r="F434" s="12">
        <v>579.6</v>
      </c>
      <c r="G434" s="8">
        <v>16</v>
      </c>
      <c r="H434" s="8">
        <v>27</v>
      </c>
      <c r="I434" s="8">
        <v>41</v>
      </c>
      <c r="J434" s="55">
        <f>0.005*C434*0.3</f>
        <v>6.3E-2</v>
      </c>
      <c r="K434" s="8">
        <v>2000</v>
      </c>
      <c r="N434" s="8">
        <v>0.78</v>
      </c>
      <c r="O434" s="8">
        <v>0.78</v>
      </c>
      <c r="P434" s="8">
        <v>0.78</v>
      </c>
      <c r="R434" s="8">
        <f t="shared" si="150"/>
        <v>98.28</v>
      </c>
      <c r="S434" s="8">
        <f t="shared" si="151"/>
        <v>98.28</v>
      </c>
      <c r="T434" s="8">
        <f t="shared" si="152"/>
        <v>98.28</v>
      </c>
      <c r="V434" s="13">
        <v>2.5</v>
      </c>
      <c r="W434" s="13">
        <v>12</v>
      </c>
      <c r="X434" s="13">
        <v>19.5</v>
      </c>
    </row>
    <row r="435" spans="1:24" ht="16" x14ac:dyDescent="0.2">
      <c r="A435" s="9" t="s">
        <v>10</v>
      </c>
      <c r="B435" s="10" t="s">
        <v>555</v>
      </c>
      <c r="C435" s="8">
        <v>209</v>
      </c>
      <c r="D435" s="11" t="s">
        <v>34</v>
      </c>
      <c r="E435" s="12">
        <v>9</v>
      </c>
      <c r="F435" s="12">
        <v>1881</v>
      </c>
      <c r="V435" s="13"/>
      <c r="W435" s="13"/>
      <c r="X435" s="13"/>
    </row>
    <row r="436" spans="1:24" ht="32" x14ac:dyDescent="0.2">
      <c r="A436" s="9" t="s">
        <v>11</v>
      </c>
      <c r="B436" s="10" t="s">
        <v>556</v>
      </c>
      <c r="C436" s="8">
        <v>305</v>
      </c>
      <c r="D436" s="11" t="s">
        <v>34</v>
      </c>
      <c r="E436" s="12">
        <v>0.92</v>
      </c>
      <c r="F436" s="12">
        <v>280.60000000000002</v>
      </c>
      <c r="J436" s="55">
        <f>C436*0.008*0.008</f>
        <v>1.9519999999999999E-2</v>
      </c>
      <c r="K436" s="8">
        <v>1700</v>
      </c>
      <c r="N436" s="8">
        <v>0.435</v>
      </c>
      <c r="O436" s="8">
        <v>0.435</v>
      </c>
      <c r="P436" s="8">
        <v>0.435</v>
      </c>
      <c r="Q436" s="8" t="s">
        <v>931</v>
      </c>
      <c r="R436" s="8">
        <f>N436*C436</f>
        <v>132.67500000000001</v>
      </c>
      <c r="S436" s="8">
        <f>O436*C436</f>
        <v>132.67500000000001</v>
      </c>
      <c r="T436" s="8">
        <f>P436*C436</f>
        <v>132.67500000000001</v>
      </c>
      <c r="V436" s="13">
        <v>8</v>
      </c>
      <c r="W436" s="13">
        <v>8</v>
      </c>
      <c r="X436" s="13">
        <v>8</v>
      </c>
    </row>
    <row r="437" spans="1:24" ht="32" x14ac:dyDescent="0.2">
      <c r="A437" s="9" t="s">
        <v>12</v>
      </c>
      <c r="B437" s="10" t="s">
        <v>557</v>
      </c>
      <c r="C437" s="8">
        <v>3459</v>
      </c>
      <c r="D437" s="11" t="s">
        <v>35</v>
      </c>
      <c r="E437" s="12">
        <v>4.3499999999999996</v>
      </c>
      <c r="F437" s="12">
        <v>15046.65</v>
      </c>
      <c r="G437" s="8">
        <v>5</v>
      </c>
      <c r="H437" s="8">
        <v>8</v>
      </c>
      <c r="I437" s="8">
        <v>12</v>
      </c>
      <c r="J437" s="55">
        <f>C437*0.3</f>
        <v>1037.7</v>
      </c>
      <c r="N437" s="13">
        <v>0.44</v>
      </c>
      <c r="O437" s="13">
        <v>0.44</v>
      </c>
      <c r="P437" s="13">
        <v>0.44</v>
      </c>
      <c r="Q437" s="13" t="s">
        <v>919</v>
      </c>
      <c r="R437" s="8">
        <f>N437*C437</f>
        <v>1521.96</v>
      </c>
      <c r="S437" s="8">
        <f>O437*C437</f>
        <v>1521.96</v>
      </c>
      <c r="T437" s="8">
        <f>P437*C437</f>
        <v>1521.96</v>
      </c>
      <c r="V437" s="13">
        <v>10.5</v>
      </c>
      <c r="W437" s="13">
        <v>10.5</v>
      </c>
      <c r="X437" s="13">
        <v>10.5</v>
      </c>
    </row>
    <row r="438" spans="1:24" ht="32" x14ac:dyDescent="0.2">
      <c r="A438" s="9" t="s">
        <v>13</v>
      </c>
      <c r="B438" s="10" t="s">
        <v>557</v>
      </c>
      <c r="C438" s="8">
        <v>283</v>
      </c>
      <c r="D438" s="11" t="s">
        <v>35</v>
      </c>
      <c r="E438" s="12">
        <v>4.3499999999999996</v>
      </c>
      <c r="F438" s="12">
        <v>1231.05</v>
      </c>
      <c r="G438" s="8">
        <v>5</v>
      </c>
      <c r="H438" s="8">
        <v>8</v>
      </c>
      <c r="I438" s="8">
        <v>12</v>
      </c>
      <c r="J438" s="55">
        <f>C438*0.3</f>
        <v>84.899999999999991</v>
      </c>
      <c r="N438" s="13">
        <v>0.44</v>
      </c>
      <c r="O438" s="13">
        <v>0.44</v>
      </c>
      <c r="P438" s="13">
        <v>0.44</v>
      </c>
      <c r="Q438" s="13" t="s">
        <v>919</v>
      </c>
      <c r="R438" s="8">
        <f>N438*C438</f>
        <v>124.52</v>
      </c>
      <c r="S438" s="8">
        <f>O438*C438</f>
        <v>124.52</v>
      </c>
      <c r="T438" s="8">
        <f>P438*C438</f>
        <v>124.52</v>
      </c>
      <c r="V438" s="13">
        <v>10.5</v>
      </c>
      <c r="W438" s="13">
        <v>10.5</v>
      </c>
      <c r="X438" s="13">
        <v>10.5</v>
      </c>
    </row>
    <row r="439" spans="1:24" ht="48" x14ac:dyDescent="0.2">
      <c r="A439" s="9" t="s">
        <v>6</v>
      </c>
      <c r="B439" s="10" t="s">
        <v>558</v>
      </c>
      <c r="C439" s="8">
        <v>176</v>
      </c>
      <c r="D439" s="11" t="s">
        <v>35</v>
      </c>
      <c r="E439" s="12">
        <v>130</v>
      </c>
      <c r="F439" s="12">
        <v>22880</v>
      </c>
      <c r="G439" s="8">
        <v>29</v>
      </c>
      <c r="H439" s="8">
        <v>48</v>
      </c>
      <c r="I439" s="8">
        <v>63</v>
      </c>
      <c r="J439" s="55">
        <f>C439*0.003</f>
        <v>0.52800000000000002</v>
      </c>
      <c r="K439" s="8">
        <v>700</v>
      </c>
      <c r="N439" s="13">
        <v>0.72</v>
      </c>
      <c r="O439" s="13">
        <v>0.72</v>
      </c>
      <c r="P439" s="13">
        <v>0.72</v>
      </c>
      <c r="R439" s="8">
        <f>N439*K439*J439</f>
        <v>266.11200000000002</v>
      </c>
      <c r="S439" s="8">
        <f>O439*K439*J439</f>
        <v>266.11200000000002</v>
      </c>
      <c r="T439" s="8">
        <f>P439*K439*J439</f>
        <v>266.11200000000002</v>
      </c>
      <c r="V439" s="13">
        <v>0.33</v>
      </c>
      <c r="W439" s="13">
        <v>5.38</v>
      </c>
      <c r="X439" s="13">
        <v>16</v>
      </c>
    </row>
    <row r="440" spans="1:24" ht="32" x14ac:dyDescent="0.2">
      <c r="A440" s="9" t="s">
        <v>9</v>
      </c>
      <c r="B440" s="10" t="s">
        <v>559</v>
      </c>
      <c r="C440" s="8">
        <v>803</v>
      </c>
      <c r="D440" s="11" t="s">
        <v>35</v>
      </c>
      <c r="E440" s="12">
        <v>14</v>
      </c>
      <c r="F440" s="12">
        <v>11242</v>
      </c>
      <c r="G440" s="8">
        <v>30</v>
      </c>
      <c r="H440" s="8">
        <v>48</v>
      </c>
      <c r="I440" s="8">
        <v>63</v>
      </c>
      <c r="J440" s="55">
        <f>C440*0.07</f>
        <v>56.210000000000008</v>
      </c>
      <c r="K440" s="8">
        <v>2100</v>
      </c>
      <c r="N440" s="13">
        <v>0.221</v>
      </c>
      <c r="O440" s="13">
        <v>0.221</v>
      </c>
      <c r="P440" s="13">
        <v>0.221</v>
      </c>
      <c r="R440" s="8">
        <f t="shared" ref="R440:R442" si="153">N440*K440*J440</f>
        <v>26087.061000000005</v>
      </c>
      <c r="S440" s="8">
        <f t="shared" ref="S440:S442" si="154">O440*K440*J440</f>
        <v>26087.061000000005</v>
      </c>
      <c r="T440" s="8">
        <f t="shared" ref="T440:T442" si="155">P440*K440*J440</f>
        <v>26087.061000000005</v>
      </c>
      <c r="V440" s="13">
        <v>0.93100000000000005</v>
      </c>
      <c r="W440" s="13">
        <v>1.33</v>
      </c>
      <c r="X440" s="13">
        <v>1.7290000000000001</v>
      </c>
    </row>
    <row r="441" spans="1:24" ht="48" x14ac:dyDescent="0.2">
      <c r="A441" s="9" t="s">
        <v>10</v>
      </c>
      <c r="B441" s="10" t="s">
        <v>560</v>
      </c>
      <c r="C441" s="8">
        <v>16</v>
      </c>
      <c r="D441" s="11" t="s">
        <v>35</v>
      </c>
      <c r="E441" s="12">
        <v>14</v>
      </c>
      <c r="F441" s="12">
        <v>224</v>
      </c>
      <c r="G441" s="8">
        <v>30</v>
      </c>
      <c r="H441" s="8">
        <v>48</v>
      </c>
      <c r="I441" s="8">
        <v>63</v>
      </c>
      <c r="J441" s="55">
        <f>C441*0.07</f>
        <v>1.1200000000000001</v>
      </c>
      <c r="K441" s="8">
        <v>2100</v>
      </c>
      <c r="N441" s="13">
        <v>0.221</v>
      </c>
      <c r="O441" s="13">
        <v>0.221</v>
      </c>
      <c r="P441" s="13">
        <v>0.221</v>
      </c>
      <c r="R441" s="8">
        <f t="shared" si="153"/>
        <v>519.79200000000003</v>
      </c>
      <c r="S441" s="8">
        <f t="shared" si="154"/>
        <v>519.79200000000003</v>
      </c>
      <c r="T441" s="8">
        <f t="shared" si="155"/>
        <v>519.79200000000003</v>
      </c>
      <c r="V441" s="13">
        <v>0.93100000000000005</v>
      </c>
      <c r="W441" s="13">
        <v>1.33</v>
      </c>
      <c r="X441" s="13">
        <v>1.7290000000000001</v>
      </c>
    </row>
    <row r="442" spans="1:24" ht="32" x14ac:dyDescent="0.2">
      <c r="A442" s="9" t="s">
        <v>11</v>
      </c>
      <c r="B442" s="10" t="s">
        <v>561</v>
      </c>
      <c r="C442" s="8">
        <v>3</v>
      </c>
      <c r="D442" s="11" t="s">
        <v>35</v>
      </c>
      <c r="E442" s="12">
        <v>14</v>
      </c>
      <c r="F442" s="12">
        <v>42</v>
      </c>
      <c r="G442" s="8">
        <v>30</v>
      </c>
      <c r="H442" s="8">
        <v>48</v>
      </c>
      <c r="I442" s="8">
        <v>63</v>
      </c>
      <c r="J442" s="55">
        <f>C442*0.07</f>
        <v>0.21000000000000002</v>
      </c>
      <c r="K442" s="8">
        <v>2100</v>
      </c>
      <c r="N442" s="13">
        <v>0.221</v>
      </c>
      <c r="O442" s="13">
        <v>0.221</v>
      </c>
      <c r="P442" s="13">
        <v>0.221</v>
      </c>
      <c r="R442" s="8">
        <f t="shared" si="153"/>
        <v>97.461000000000013</v>
      </c>
      <c r="S442" s="8">
        <f t="shared" si="154"/>
        <v>97.461000000000013</v>
      </c>
      <c r="T442" s="8">
        <f t="shared" si="155"/>
        <v>97.461000000000013</v>
      </c>
      <c r="V442" s="13">
        <v>0.93100000000000005</v>
      </c>
      <c r="W442" s="13">
        <v>1.33</v>
      </c>
      <c r="X442" s="13">
        <v>1.7290000000000001</v>
      </c>
    </row>
    <row r="443" spans="1:24" ht="32" x14ac:dyDescent="0.2">
      <c r="A443" s="9" t="s">
        <v>12</v>
      </c>
      <c r="B443" s="10" t="s">
        <v>562</v>
      </c>
      <c r="C443" s="8">
        <v>1095</v>
      </c>
      <c r="D443" s="11" t="s">
        <v>34</v>
      </c>
      <c r="E443" s="12">
        <v>1.5</v>
      </c>
      <c r="F443" s="12">
        <v>1642.5</v>
      </c>
      <c r="G443" s="8">
        <v>30</v>
      </c>
      <c r="H443" s="8">
        <v>48</v>
      </c>
      <c r="I443" s="8">
        <v>63</v>
      </c>
      <c r="V443" s="13"/>
      <c r="W443" s="13"/>
      <c r="X443" s="13"/>
    </row>
    <row r="444" spans="1:24" ht="32" x14ac:dyDescent="0.2">
      <c r="A444" s="9" t="s">
        <v>13</v>
      </c>
      <c r="B444" s="10" t="s">
        <v>563</v>
      </c>
      <c r="C444" s="8">
        <v>4</v>
      </c>
      <c r="D444" s="11" t="s">
        <v>35</v>
      </c>
      <c r="E444" s="12">
        <v>10</v>
      </c>
      <c r="F444" s="12">
        <v>40</v>
      </c>
      <c r="G444" s="8">
        <v>30</v>
      </c>
      <c r="H444" s="8">
        <v>48</v>
      </c>
      <c r="I444" s="8">
        <v>63</v>
      </c>
      <c r="V444" s="13"/>
      <c r="W444" s="13"/>
      <c r="X444" s="13"/>
    </row>
    <row r="445" spans="1:24" ht="16" x14ac:dyDescent="0.2">
      <c r="A445" s="9" t="s">
        <v>14</v>
      </c>
      <c r="B445" s="10" t="s">
        <v>564</v>
      </c>
      <c r="C445" s="8">
        <v>1</v>
      </c>
      <c r="D445" s="11" t="s">
        <v>7</v>
      </c>
      <c r="E445" s="14" t="s">
        <v>37</v>
      </c>
      <c r="F445" s="14" t="s">
        <v>37</v>
      </c>
      <c r="V445" s="13"/>
      <c r="W445" s="13"/>
      <c r="X445" s="13"/>
    </row>
    <row r="446" spans="1:24" ht="32" x14ac:dyDescent="0.2">
      <c r="A446" s="9" t="s">
        <v>15</v>
      </c>
      <c r="B446" s="10" t="s">
        <v>565</v>
      </c>
      <c r="C446" s="8">
        <v>1</v>
      </c>
      <c r="D446" s="11" t="s">
        <v>7</v>
      </c>
      <c r="E446" s="14" t="s">
        <v>37</v>
      </c>
      <c r="F446" s="14" t="s">
        <v>37</v>
      </c>
      <c r="V446" s="13"/>
      <c r="W446" s="13"/>
      <c r="X446" s="13"/>
    </row>
    <row r="447" spans="1:24" ht="32" x14ac:dyDescent="0.2">
      <c r="A447" s="9" t="s">
        <v>16</v>
      </c>
      <c r="B447" s="10" t="s">
        <v>101</v>
      </c>
      <c r="C447" s="8">
        <v>803</v>
      </c>
      <c r="D447" s="11" t="s">
        <v>35</v>
      </c>
      <c r="E447" s="12">
        <v>1</v>
      </c>
      <c r="F447" s="12">
        <v>803</v>
      </c>
      <c r="G447" s="8">
        <v>10</v>
      </c>
      <c r="H447" s="8">
        <v>20</v>
      </c>
      <c r="I447" s="8">
        <v>30</v>
      </c>
      <c r="J447" s="55">
        <f>C447*0.0003</f>
        <v>0.24089999999999998</v>
      </c>
      <c r="K447" s="8">
        <v>32</v>
      </c>
      <c r="N447" s="8">
        <v>4.2</v>
      </c>
      <c r="O447" s="8">
        <v>4.2</v>
      </c>
      <c r="P447" s="8">
        <v>4.2</v>
      </c>
      <c r="R447" s="8">
        <f>N447*K447*J447</f>
        <v>32.376959999999997</v>
      </c>
      <c r="S447" s="8">
        <f>O447*K447*J447</f>
        <v>32.376959999999997</v>
      </c>
      <c r="T447" s="8">
        <f>P447*K447*J447</f>
        <v>32.376959999999997</v>
      </c>
      <c r="V447" s="13">
        <v>100</v>
      </c>
      <c r="W447" s="13">
        <v>134.18</v>
      </c>
      <c r="X447" s="13">
        <v>183</v>
      </c>
    </row>
    <row r="448" spans="1:24" ht="16" x14ac:dyDescent="0.2">
      <c r="A448" s="9" t="s">
        <v>17</v>
      </c>
      <c r="B448" s="10" t="s">
        <v>53</v>
      </c>
      <c r="C448" s="8">
        <v>483</v>
      </c>
      <c r="D448" s="11" t="s">
        <v>35</v>
      </c>
      <c r="E448" s="12">
        <v>1.5</v>
      </c>
      <c r="F448" s="12">
        <v>724.5</v>
      </c>
      <c r="G448" s="8">
        <v>10</v>
      </c>
      <c r="H448" s="8">
        <v>20</v>
      </c>
      <c r="I448" s="8">
        <v>30</v>
      </c>
      <c r="J448" s="55">
        <f>C448*0.0003</f>
        <v>0.1449</v>
      </c>
      <c r="K448" s="8">
        <v>32</v>
      </c>
      <c r="N448" s="8">
        <v>4.2</v>
      </c>
      <c r="O448" s="8">
        <v>4.2</v>
      </c>
      <c r="P448" s="8">
        <v>4.2</v>
      </c>
      <c r="R448" s="8">
        <f>N448*K448*J448</f>
        <v>19.47456</v>
      </c>
      <c r="S448" s="8">
        <f>O448*K448*J448</f>
        <v>19.47456</v>
      </c>
      <c r="T448" s="8">
        <f>P448*K448*J448</f>
        <v>19.47456</v>
      </c>
      <c r="V448" s="13">
        <v>100</v>
      </c>
      <c r="W448" s="13">
        <v>134.18</v>
      </c>
      <c r="X448" s="13">
        <v>183</v>
      </c>
    </row>
    <row r="449" spans="1:25" ht="16" x14ac:dyDescent="0.2">
      <c r="A449" s="9" t="s">
        <v>18</v>
      </c>
      <c r="B449" s="10" t="s">
        <v>566</v>
      </c>
      <c r="C449" s="8">
        <v>803</v>
      </c>
      <c r="D449" s="11" t="s">
        <v>35</v>
      </c>
      <c r="E449" s="14" t="s">
        <v>37</v>
      </c>
      <c r="F449" s="14" t="s">
        <v>37</v>
      </c>
      <c r="V449" s="13"/>
      <c r="W449" s="13"/>
      <c r="X449" s="13"/>
    </row>
    <row r="450" spans="1:25" ht="48" x14ac:dyDescent="0.2">
      <c r="A450" s="9" t="s">
        <v>19</v>
      </c>
      <c r="B450" s="10" t="s">
        <v>567</v>
      </c>
      <c r="C450" s="8">
        <v>738</v>
      </c>
      <c r="D450" s="11" t="s">
        <v>35</v>
      </c>
      <c r="E450" s="12">
        <v>6.54</v>
      </c>
      <c r="F450" s="12">
        <v>4826.5200000000004</v>
      </c>
      <c r="G450" s="8">
        <v>18</v>
      </c>
      <c r="H450" s="8">
        <v>29</v>
      </c>
      <c r="I450" s="8">
        <v>40</v>
      </c>
      <c r="J450" s="55">
        <f>0.003*C450</f>
        <v>2.214</v>
      </c>
      <c r="K450" s="8">
        <v>2100</v>
      </c>
      <c r="N450" s="8">
        <v>0.74</v>
      </c>
      <c r="O450" s="8">
        <v>0.74</v>
      </c>
      <c r="P450" s="8">
        <v>0.74</v>
      </c>
      <c r="R450" s="8">
        <f>N450*K450*J450</f>
        <v>3440.556</v>
      </c>
      <c r="S450" s="8">
        <f>O450*K450*J450</f>
        <v>3440.556</v>
      </c>
      <c r="T450" s="8">
        <f>P450*K450*J450</f>
        <v>3440.556</v>
      </c>
      <c r="V450" s="13">
        <v>3.157</v>
      </c>
      <c r="W450" s="13">
        <v>4.51</v>
      </c>
      <c r="X450" s="13">
        <v>5.8630000000000004</v>
      </c>
    </row>
    <row r="451" spans="1:25" ht="48" x14ac:dyDescent="0.2">
      <c r="A451" s="9" t="s">
        <v>20</v>
      </c>
      <c r="B451" s="10" t="s">
        <v>568</v>
      </c>
      <c r="C451" s="8">
        <v>3</v>
      </c>
      <c r="D451" s="11" t="s">
        <v>35</v>
      </c>
      <c r="E451" s="12">
        <v>6.54</v>
      </c>
      <c r="F451" s="12">
        <v>19.62</v>
      </c>
      <c r="G451" s="8">
        <v>18</v>
      </c>
      <c r="H451" s="8">
        <v>29</v>
      </c>
      <c r="I451" s="8">
        <v>40</v>
      </c>
      <c r="J451" s="55">
        <f>0.003*C451</f>
        <v>9.0000000000000011E-3</v>
      </c>
      <c r="K451" s="8">
        <v>2100</v>
      </c>
      <c r="N451" s="8">
        <v>0.74</v>
      </c>
      <c r="O451" s="8">
        <v>0.74</v>
      </c>
      <c r="P451" s="8">
        <v>0.74</v>
      </c>
      <c r="R451" s="8">
        <f t="shared" ref="R451:R454" si="156">N451*K451*J451</f>
        <v>13.986000000000002</v>
      </c>
      <c r="S451" s="8">
        <f t="shared" ref="S451:S454" si="157">O451*K451*J451</f>
        <v>13.986000000000002</v>
      </c>
      <c r="T451" s="8">
        <f t="shared" ref="T451:T454" si="158">P451*K451*J451</f>
        <v>13.986000000000002</v>
      </c>
      <c r="V451" s="13">
        <v>3.157</v>
      </c>
      <c r="W451" s="13">
        <v>4.51</v>
      </c>
      <c r="X451" s="13">
        <v>5.8630000000000004</v>
      </c>
    </row>
    <row r="452" spans="1:25" ht="64" x14ac:dyDescent="0.2">
      <c r="A452" s="9" t="s">
        <v>6</v>
      </c>
      <c r="B452" s="10" t="s">
        <v>569</v>
      </c>
      <c r="C452" s="8">
        <v>738</v>
      </c>
      <c r="D452" s="11" t="s">
        <v>35</v>
      </c>
      <c r="E452" s="12">
        <v>8.74</v>
      </c>
      <c r="F452" s="12">
        <v>6450.12</v>
      </c>
      <c r="G452" s="8">
        <v>10</v>
      </c>
      <c r="H452" s="8">
        <v>20</v>
      </c>
      <c r="I452" s="8">
        <v>30</v>
      </c>
      <c r="J452" s="55">
        <f>C452*0.003</f>
        <v>2.214</v>
      </c>
      <c r="K452" s="8">
        <v>32</v>
      </c>
      <c r="N452" s="8">
        <v>4.2</v>
      </c>
      <c r="O452" s="8">
        <v>4.2</v>
      </c>
      <c r="P452" s="8">
        <v>4.2</v>
      </c>
      <c r="R452" s="8">
        <f t="shared" si="156"/>
        <v>297.5616</v>
      </c>
      <c r="S452" s="8">
        <f t="shared" si="157"/>
        <v>297.5616</v>
      </c>
      <c r="T452" s="8">
        <f t="shared" si="158"/>
        <v>297.5616</v>
      </c>
      <c r="V452" s="13">
        <v>100</v>
      </c>
      <c r="W452" s="13">
        <v>134.18</v>
      </c>
      <c r="X452" s="13">
        <v>183</v>
      </c>
    </row>
    <row r="453" spans="1:25" ht="64" x14ac:dyDescent="0.2">
      <c r="A453" s="9" t="s">
        <v>9</v>
      </c>
      <c r="B453" s="10" t="s">
        <v>570</v>
      </c>
      <c r="C453" s="8">
        <v>3</v>
      </c>
      <c r="D453" s="11" t="s">
        <v>35</v>
      </c>
      <c r="E453" s="12">
        <v>8.74</v>
      </c>
      <c r="F453" s="12">
        <v>26.22</v>
      </c>
      <c r="G453" s="8">
        <v>10</v>
      </c>
      <c r="H453" s="8">
        <v>20</v>
      </c>
      <c r="I453" s="8">
        <v>30</v>
      </c>
      <c r="J453" s="55">
        <f>0.003*3</f>
        <v>9.0000000000000011E-3</v>
      </c>
      <c r="K453" s="8">
        <v>32</v>
      </c>
      <c r="N453" s="8">
        <v>4.2</v>
      </c>
      <c r="O453" s="8">
        <v>4.2</v>
      </c>
      <c r="P453" s="8">
        <v>4.2</v>
      </c>
      <c r="R453" s="8">
        <f t="shared" si="156"/>
        <v>1.2096000000000002</v>
      </c>
      <c r="S453" s="8">
        <f t="shared" si="157"/>
        <v>1.2096000000000002</v>
      </c>
      <c r="T453" s="8">
        <f t="shared" si="158"/>
        <v>1.2096000000000002</v>
      </c>
      <c r="V453" s="13">
        <v>100</v>
      </c>
      <c r="W453" s="13">
        <v>134.18</v>
      </c>
      <c r="X453" s="13">
        <v>183</v>
      </c>
    </row>
    <row r="454" spans="1:25" ht="16" x14ac:dyDescent="0.2">
      <c r="A454" s="9" t="s">
        <v>10</v>
      </c>
      <c r="B454" s="10" t="s">
        <v>571</v>
      </c>
      <c r="C454" s="8">
        <v>104</v>
      </c>
      <c r="D454" s="11" t="s">
        <v>35</v>
      </c>
      <c r="E454" s="12">
        <v>66</v>
      </c>
      <c r="F454" s="12">
        <v>6864</v>
      </c>
      <c r="G454" s="8">
        <v>10</v>
      </c>
      <c r="H454" s="8">
        <v>20</v>
      </c>
      <c r="I454" s="8">
        <v>30</v>
      </c>
      <c r="J454" s="55">
        <f>0.005*C454</f>
        <v>0.52</v>
      </c>
      <c r="K454" s="8">
        <v>1700</v>
      </c>
      <c r="N454" s="8">
        <v>0.78</v>
      </c>
      <c r="O454" s="8">
        <v>0.78</v>
      </c>
      <c r="P454" s="8">
        <v>0.78</v>
      </c>
      <c r="R454" s="8">
        <f t="shared" si="156"/>
        <v>689.52</v>
      </c>
      <c r="S454" s="8">
        <f t="shared" si="157"/>
        <v>689.52</v>
      </c>
      <c r="T454" s="8">
        <f t="shared" si="158"/>
        <v>689.52</v>
      </c>
      <c r="V454" s="13">
        <v>2.5</v>
      </c>
      <c r="W454" s="13">
        <v>12</v>
      </c>
      <c r="X454" s="13">
        <v>19.5</v>
      </c>
    </row>
    <row r="455" spans="1:25" ht="16" x14ac:dyDescent="0.2">
      <c r="A455" s="9" t="s">
        <v>11</v>
      </c>
      <c r="B455" s="10" t="s">
        <v>572</v>
      </c>
      <c r="C455" s="8">
        <v>184</v>
      </c>
      <c r="D455" s="11" t="s">
        <v>34</v>
      </c>
      <c r="E455" s="12">
        <v>11.45</v>
      </c>
      <c r="F455" s="12">
        <v>2106.8000000000002</v>
      </c>
      <c r="G455" s="8">
        <v>11</v>
      </c>
      <c r="H455" s="8">
        <v>18</v>
      </c>
      <c r="I455" s="8">
        <v>25</v>
      </c>
      <c r="J455" s="55" t="s">
        <v>105</v>
      </c>
      <c r="V455" s="13"/>
      <c r="W455" s="13"/>
      <c r="X455" s="13"/>
    </row>
    <row r="456" spans="1:25" ht="32" x14ac:dyDescent="0.2">
      <c r="A456" s="9" t="s">
        <v>12</v>
      </c>
      <c r="B456" s="10" t="s">
        <v>573</v>
      </c>
      <c r="C456" s="8">
        <v>778</v>
      </c>
      <c r="D456" s="11" t="s">
        <v>35</v>
      </c>
      <c r="E456" s="12">
        <v>44.45</v>
      </c>
      <c r="F456" s="12">
        <v>34582.1</v>
      </c>
      <c r="G456" s="8">
        <v>8</v>
      </c>
      <c r="H456" s="8">
        <v>13</v>
      </c>
      <c r="I456" s="8">
        <v>19</v>
      </c>
      <c r="N456" s="8">
        <v>4.38</v>
      </c>
      <c r="O456" s="8">
        <v>4.38</v>
      </c>
      <c r="P456" s="8">
        <v>4.38</v>
      </c>
      <c r="Q456" s="8" t="s">
        <v>919</v>
      </c>
      <c r="R456" s="8">
        <f>N456*C456</f>
        <v>3407.64</v>
      </c>
      <c r="S456" s="8">
        <f>O456*C456</f>
        <v>3407.64</v>
      </c>
      <c r="T456" s="8">
        <f>P456*C456</f>
        <v>3407.64</v>
      </c>
      <c r="V456" s="13">
        <v>58.8</v>
      </c>
      <c r="W456" s="13">
        <v>84</v>
      </c>
      <c r="X456" s="13">
        <v>109.2</v>
      </c>
      <c r="Y456" s="8" t="s">
        <v>920</v>
      </c>
    </row>
    <row r="457" spans="1:25" ht="48" x14ac:dyDescent="0.2">
      <c r="A457" s="9" t="s">
        <v>13</v>
      </c>
      <c r="B457" s="10" t="s">
        <v>574</v>
      </c>
      <c r="C457" s="8">
        <v>96</v>
      </c>
      <c r="D457" s="11" t="s">
        <v>34</v>
      </c>
      <c r="E457" s="12">
        <v>14.99</v>
      </c>
      <c r="F457" s="12">
        <v>1439.04</v>
      </c>
      <c r="G457" s="8">
        <v>7</v>
      </c>
      <c r="H457" s="8">
        <v>11</v>
      </c>
      <c r="I457" s="8">
        <v>16</v>
      </c>
      <c r="J457" s="55">
        <f>C457*0.3</f>
        <v>28.799999999999997</v>
      </c>
      <c r="N457" s="8">
        <v>4.38</v>
      </c>
      <c r="O457" s="8">
        <v>4.38</v>
      </c>
      <c r="P457" s="8">
        <v>4.38</v>
      </c>
      <c r="R457" s="8">
        <f>N457*J457</f>
        <v>126.14399999999999</v>
      </c>
      <c r="S457" s="8">
        <f>O457*J457</f>
        <v>126.14399999999999</v>
      </c>
      <c r="T457" s="8">
        <f>P457*J457</f>
        <v>126.14399999999999</v>
      </c>
      <c r="V457" s="13">
        <v>58.8</v>
      </c>
      <c r="W457" s="13">
        <v>84</v>
      </c>
      <c r="X457" s="13">
        <v>109.2</v>
      </c>
    </row>
    <row r="458" spans="1:25" ht="48" x14ac:dyDescent="0.2">
      <c r="A458" s="9" t="s">
        <v>14</v>
      </c>
      <c r="B458" s="10" t="s">
        <v>575</v>
      </c>
      <c r="C458" s="8">
        <v>79</v>
      </c>
      <c r="D458" s="11" t="s">
        <v>34</v>
      </c>
      <c r="E458" s="12">
        <v>14.99</v>
      </c>
      <c r="F458" s="12">
        <v>1184.21</v>
      </c>
      <c r="G458" s="8">
        <v>7</v>
      </c>
      <c r="H458" s="8">
        <v>11</v>
      </c>
      <c r="I458" s="8">
        <v>16</v>
      </c>
      <c r="J458" s="55">
        <f>C458*0.3</f>
        <v>23.7</v>
      </c>
      <c r="N458" s="8">
        <v>4.38</v>
      </c>
      <c r="O458" s="8">
        <v>4.38</v>
      </c>
      <c r="P458" s="8">
        <v>4.38</v>
      </c>
      <c r="R458" s="8">
        <f>N458*J458</f>
        <v>103.806</v>
      </c>
      <c r="S458" s="8">
        <f>O458*J458</f>
        <v>103.806</v>
      </c>
      <c r="T458" s="8">
        <f>P458*J458</f>
        <v>103.806</v>
      </c>
      <c r="V458" s="13">
        <v>58.8</v>
      </c>
      <c r="W458" s="13">
        <v>84</v>
      </c>
      <c r="X458" s="13">
        <v>109.2</v>
      </c>
    </row>
    <row r="459" spans="1:25" ht="48" x14ac:dyDescent="0.2">
      <c r="A459" s="9" t="s">
        <v>15</v>
      </c>
      <c r="B459" s="10" t="s">
        <v>576</v>
      </c>
      <c r="C459" s="8">
        <v>2</v>
      </c>
      <c r="D459" s="11" t="s">
        <v>35</v>
      </c>
      <c r="E459" s="12">
        <v>19.989999999999998</v>
      </c>
      <c r="F459" s="12">
        <v>39.979999999999997</v>
      </c>
      <c r="G459" s="8">
        <v>7</v>
      </c>
      <c r="H459" s="8">
        <v>11</v>
      </c>
      <c r="I459" s="8">
        <v>16</v>
      </c>
      <c r="N459" s="8">
        <v>4.38</v>
      </c>
      <c r="O459" s="8">
        <v>4.38</v>
      </c>
      <c r="P459" s="8">
        <v>4.38</v>
      </c>
      <c r="R459" s="8">
        <f t="shared" ref="R459" si="159">N459*C459</f>
        <v>8.76</v>
      </c>
      <c r="S459" s="8">
        <f t="shared" ref="S459" si="160">O459*C459</f>
        <v>8.76</v>
      </c>
      <c r="T459" s="8">
        <f t="shared" ref="T459" si="161">P459*C459</f>
        <v>8.76</v>
      </c>
      <c r="V459" s="13">
        <v>58.8</v>
      </c>
      <c r="W459" s="13">
        <v>84</v>
      </c>
      <c r="X459" s="13">
        <v>109.2</v>
      </c>
    </row>
    <row r="460" spans="1:25" ht="16" x14ac:dyDescent="0.2">
      <c r="A460" s="9" t="s">
        <v>16</v>
      </c>
      <c r="B460" s="10" t="s">
        <v>577</v>
      </c>
      <c r="C460" s="8">
        <v>91</v>
      </c>
      <c r="D460" s="11" t="s">
        <v>34</v>
      </c>
      <c r="E460" s="12">
        <v>19.989999999999998</v>
      </c>
      <c r="F460" s="12">
        <v>1819.09</v>
      </c>
      <c r="G460" s="8">
        <v>7</v>
      </c>
      <c r="H460" s="8">
        <v>11</v>
      </c>
      <c r="I460" s="8">
        <v>16</v>
      </c>
      <c r="V460" s="13"/>
      <c r="W460" s="13"/>
      <c r="X460" s="13"/>
    </row>
    <row r="461" spans="1:25" ht="16" x14ac:dyDescent="0.2">
      <c r="A461" s="9" t="s">
        <v>17</v>
      </c>
      <c r="B461" s="10" t="s">
        <v>578</v>
      </c>
      <c r="C461" s="8">
        <v>6</v>
      </c>
      <c r="D461" s="11" t="s">
        <v>34</v>
      </c>
      <c r="E461" s="12">
        <v>29.99</v>
      </c>
      <c r="F461" s="12">
        <v>179.94</v>
      </c>
      <c r="G461" s="8">
        <v>7</v>
      </c>
      <c r="H461" s="8">
        <v>11</v>
      </c>
      <c r="I461" s="8">
        <v>16</v>
      </c>
      <c r="V461" s="13"/>
      <c r="W461" s="13"/>
      <c r="X461" s="13"/>
    </row>
    <row r="462" spans="1:25" ht="16" x14ac:dyDescent="0.2">
      <c r="A462" s="9" t="s">
        <v>6</v>
      </c>
      <c r="B462" s="10" t="s">
        <v>54</v>
      </c>
      <c r="C462" s="8">
        <v>62</v>
      </c>
      <c r="D462" s="11" t="s">
        <v>34</v>
      </c>
      <c r="E462" s="12">
        <v>17.5</v>
      </c>
      <c r="F462" s="12">
        <v>1085</v>
      </c>
      <c r="V462" s="13"/>
      <c r="W462" s="13"/>
      <c r="X462" s="13"/>
    </row>
    <row r="463" spans="1:25" ht="16" x14ac:dyDescent="0.2">
      <c r="A463" s="9" t="s">
        <v>9</v>
      </c>
      <c r="B463" s="10" t="s">
        <v>55</v>
      </c>
      <c r="C463" s="8">
        <v>8</v>
      </c>
      <c r="D463" s="11" t="s">
        <v>34</v>
      </c>
      <c r="E463" s="12">
        <v>17.5</v>
      </c>
      <c r="F463" s="12">
        <v>140</v>
      </c>
      <c r="V463" s="13"/>
      <c r="W463" s="13"/>
      <c r="X463" s="13"/>
    </row>
    <row r="464" spans="1:25" ht="16" x14ac:dyDescent="0.2">
      <c r="A464" s="9" t="s">
        <v>10</v>
      </c>
      <c r="B464" s="10" t="s">
        <v>56</v>
      </c>
      <c r="C464" s="8">
        <v>11</v>
      </c>
      <c r="D464" s="11" t="s">
        <v>34</v>
      </c>
      <c r="E464" s="12">
        <v>17.5</v>
      </c>
      <c r="F464" s="12">
        <v>192.5</v>
      </c>
      <c r="V464" s="13"/>
      <c r="W464" s="13"/>
      <c r="X464" s="13"/>
    </row>
    <row r="465" spans="1:25" ht="16" x14ac:dyDescent="0.2">
      <c r="A465" s="9" t="s">
        <v>11</v>
      </c>
      <c r="B465" s="10" t="s">
        <v>57</v>
      </c>
      <c r="C465" s="8">
        <v>17</v>
      </c>
      <c r="D465" s="11" t="s">
        <v>34</v>
      </c>
      <c r="E465" s="12">
        <v>9.5</v>
      </c>
      <c r="F465" s="12">
        <v>161.5</v>
      </c>
      <c r="V465" s="13"/>
      <c r="W465" s="13"/>
      <c r="X465" s="13"/>
    </row>
    <row r="466" spans="1:25" ht="32" x14ac:dyDescent="0.2">
      <c r="A466" s="9" t="s">
        <v>12</v>
      </c>
      <c r="B466" s="10" t="s">
        <v>579</v>
      </c>
      <c r="C466" s="8">
        <v>839</v>
      </c>
      <c r="D466" s="11" t="s">
        <v>34</v>
      </c>
      <c r="E466" s="12">
        <v>2.85</v>
      </c>
      <c r="F466" s="12">
        <v>2391.15</v>
      </c>
      <c r="G466" s="8">
        <v>29</v>
      </c>
      <c r="H466" s="8">
        <v>48</v>
      </c>
      <c r="I466" s="8">
        <v>63</v>
      </c>
      <c r="J466" s="55">
        <f>C466*0.3</f>
        <v>251.7</v>
      </c>
      <c r="N466" s="8">
        <v>0.44</v>
      </c>
      <c r="O466" s="8">
        <v>0.44</v>
      </c>
      <c r="P466" s="8">
        <v>0.44</v>
      </c>
      <c r="Q466" s="8" t="s">
        <v>919</v>
      </c>
      <c r="R466" s="8">
        <f>N466*J466</f>
        <v>110.74799999999999</v>
      </c>
      <c r="S466" s="8">
        <f>O466*J466</f>
        <v>110.74799999999999</v>
      </c>
      <c r="T466" s="8">
        <f>P466*J466</f>
        <v>110.74799999999999</v>
      </c>
      <c r="V466" s="13">
        <v>10.5</v>
      </c>
      <c r="W466" s="13">
        <v>10.5</v>
      </c>
      <c r="X466" s="13">
        <v>10.5</v>
      </c>
      <c r="Y466" s="8" t="s">
        <v>920</v>
      </c>
    </row>
    <row r="467" spans="1:25" ht="48" x14ac:dyDescent="0.2">
      <c r="A467" s="9" t="s">
        <v>13</v>
      </c>
      <c r="B467" s="10" t="s">
        <v>580</v>
      </c>
      <c r="C467" s="8">
        <v>103</v>
      </c>
      <c r="D467" s="11" t="s">
        <v>34</v>
      </c>
      <c r="E467" s="12">
        <v>3</v>
      </c>
      <c r="F467" s="12">
        <v>309</v>
      </c>
      <c r="G467" s="8">
        <v>29</v>
      </c>
      <c r="H467" s="8">
        <v>48</v>
      </c>
      <c r="I467" s="8">
        <v>63</v>
      </c>
      <c r="J467" s="55">
        <f>C467*0.3</f>
        <v>30.9</v>
      </c>
      <c r="N467" s="8">
        <v>0.44</v>
      </c>
      <c r="O467" s="8">
        <v>0.44</v>
      </c>
      <c r="P467" s="8">
        <v>0.44</v>
      </c>
      <c r="Q467" s="8" t="s">
        <v>919</v>
      </c>
      <c r="R467" s="8">
        <f>N467*J467</f>
        <v>13.596</v>
      </c>
      <c r="S467" s="8">
        <f>O467*J467</f>
        <v>13.596</v>
      </c>
      <c r="T467" s="8">
        <f>P467*J467</f>
        <v>13.596</v>
      </c>
      <c r="V467" s="13">
        <v>10.5</v>
      </c>
      <c r="W467" s="13">
        <v>10.5</v>
      </c>
      <c r="X467" s="13">
        <v>10.5</v>
      </c>
      <c r="Y467" s="8" t="s">
        <v>920</v>
      </c>
    </row>
    <row r="468" spans="1:25" ht="16" x14ac:dyDescent="0.2">
      <c r="A468" s="9" t="s">
        <v>14</v>
      </c>
      <c r="B468" s="10" t="s">
        <v>581</v>
      </c>
      <c r="C468" s="8">
        <v>4</v>
      </c>
      <c r="D468" s="11" t="s">
        <v>35</v>
      </c>
      <c r="E468" s="12">
        <v>81.099999999999994</v>
      </c>
      <c r="F468" s="12">
        <v>324.39999999999998</v>
      </c>
      <c r="G468" s="8">
        <v>5</v>
      </c>
      <c r="H468" s="8">
        <v>7</v>
      </c>
      <c r="I468" s="8">
        <v>10</v>
      </c>
      <c r="L468" s="8" t="s">
        <v>932</v>
      </c>
      <c r="N468" s="8">
        <v>6.26</v>
      </c>
      <c r="O468" s="8">
        <v>6.26</v>
      </c>
      <c r="P468" s="8">
        <v>6.26</v>
      </c>
      <c r="Q468" s="8" t="s">
        <v>919</v>
      </c>
      <c r="V468" s="13">
        <f>W468*0.7</f>
        <v>84</v>
      </c>
      <c r="W468" s="13">
        <v>120</v>
      </c>
      <c r="X468" s="13">
        <f>W468*1.3</f>
        <v>156</v>
      </c>
      <c r="Y468" s="8" t="s">
        <v>920</v>
      </c>
    </row>
    <row r="469" spans="1:25" ht="16" x14ac:dyDescent="0.2">
      <c r="A469" s="9" t="s">
        <v>15</v>
      </c>
      <c r="B469" s="10" t="s">
        <v>582</v>
      </c>
      <c r="C469" s="8">
        <v>17</v>
      </c>
      <c r="D469" s="11" t="s">
        <v>34</v>
      </c>
      <c r="E469" s="12">
        <v>24.35</v>
      </c>
      <c r="F469" s="12">
        <v>413.95</v>
      </c>
      <c r="G469" s="8">
        <v>41</v>
      </c>
      <c r="H469" s="8">
        <v>68</v>
      </c>
      <c r="I469" s="8">
        <v>107</v>
      </c>
      <c r="V469" s="13"/>
      <c r="W469" s="13"/>
      <c r="X469" s="13"/>
    </row>
    <row r="470" spans="1:25" ht="32" x14ac:dyDescent="0.2">
      <c r="A470" s="9" t="s">
        <v>16</v>
      </c>
      <c r="B470" s="10" t="s">
        <v>583</v>
      </c>
      <c r="C470" s="8">
        <v>483</v>
      </c>
      <c r="D470" s="11" t="s">
        <v>35</v>
      </c>
      <c r="E470" s="12">
        <v>12.95</v>
      </c>
      <c r="F470" s="12">
        <v>6254.85</v>
      </c>
      <c r="G470" s="8">
        <v>50</v>
      </c>
      <c r="H470" s="8">
        <v>85</v>
      </c>
      <c r="I470" s="8">
        <v>120</v>
      </c>
      <c r="J470" s="55">
        <f>0.15*C470</f>
        <v>72.45</v>
      </c>
      <c r="K470" s="8">
        <v>1890</v>
      </c>
      <c r="N470" s="8">
        <v>16.5</v>
      </c>
      <c r="O470" s="8">
        <v>16.5</v>
      </c>
      <c r="P470" s="8">
        <v>16.5</v>
      </c>
      <c r="R470" s="8">
        <f>N470*K470*J470</f>
        <v>2259353.25</v>
      </c>
      <c r="S470" s="8">
        <f>O470*K470*J470</f>
        <v>2259353.25</v>
      </c>
      <c r="T470" s="8">
        <f>P470*K470*J470</f>
        <v>2259353.25</v>
      </c>
      <c r="V470" s="13">
        <v>27</v>
      </c>
      <c r="W470" s="13">
        <v>45</v>
      </c>
      <c r="X470" s="13">
        <v>63</v>
      </c>
    </row>
    <row r="471" spans="1:25" ht="16" x14ac:dyDescent="0.2">
      <c r="A471" s="9" t="s">
        <v>6</v>
      </c>
      <c r="B471" s="10" t="s">
        <v>584</v>
      </c>
      <c r="C471" s="8">
        <v>839</v>
      </c>
      <c r="D471" s="11" t="s">
        <v>34</v>
      </c>
      <c r="E471" s="12">
        <v>8.06</v>
      </c>
      <c r="F471" s="12">
        <v>6762.34</v>
      </c>
      <c r="G471" s="8">
        <v>21</v>
      </c>
      <c r="H471" s="8">
        <v>36</v>
      </c>
      <c r="I471" s="8">
        <v>48</v>
      </c>
      <c r="J471" s="55">
        <f>C471*0.144*0.018</f>
        <v>2.1746879999999997</v>
      </c>
      <c r="K471" s="8">
        <v>575</v>
      </c>
      <c r="N471" s="8">
        <v>0.74</v>
      </c>
      <c r="O471" s="8">
        <v>0.74</v>
      </c>
      <c r="P471" s="8">
        <v>0.74</v>
      </c>
      <c r="R471" s="8">
        <f>N471*K471*J471</f>
        <v>925.32974399999989</v>
      </c>
      <c r="S471" s="8">
        <f>O471*K471*J471</f>
        <v>925.32974399999989</v>
      </c>
      <c r="T471" s="8">
        <f>P471*K471*J471</f>
        <v>925.32974399999989</v>
      </c>
      <c r="V471" s="13">
        <v>11</v>
      </c>
      <c r="W471" s="13">
        <v>11</v>
      </c>
      <c r="X471" s="13">
        <v>11</v>
      </c>
    </row>
    <row r="472" spans="1:25" ht="16" x14ac:dyDescent="0.2">
      <c r="A472" s="9" t="s">
        <v>9</v>
      </c>
      <c r="B472" s="10" t="s">
        <v>585</v>
      </c>
      <c r="C472" s="8">
        <v>103</v>
      </c>
      <c r="D472" s="11" t="s">
        <v>34</v>
      </c>
      <c r="E472" s="12">
        <v>8.57</v>
      </c>
      <c r="F472" s="12">
        <v>882.71</v>
      </c>
      <c r="G472" s="8">
        <v>21</v>
      </c>
      <c r="H472" s="8">
        <v>36</v>
      </c>
      <c r="I472" s="8">
        <v>48</v>
      </c>
      <c r="V472" s="13"/>
      <c r="W472" s="13"/>
      <c r="X472" s="13"/>
    </row>
    <row r="473" spans="1:25" ht="32" x14ac:dyDescent="0.2">
      <c r="A473" s="9" t="s">
        <v>10</v>
      </c>
      <c r="B473" s="10" t="s">
        <v>586</v>
      </c>
      <c r="C473" s="8">
        <v>305</v>
      </c>
      <c r="D473" s="11" t="s">
        <v>34</v>
      </c>
      <c r="E473" s="12">
        <v>1.25</v>
      </c>
      <c r="F473" s="12">
        <v>381.25</v>
      </c>
      <c r="G473" s="8">
        <v>5</v>
      </c>
      <c r="H473" s="8">
        <v>15</v>
      </c>
      <c r="I473" s="8">
        <v>25</v>
      </c>
      <c r="J473" s="55">
        <f>C473*0.006*0.006</f>
        <v>1.098E-2</v>
      </c>
      <c r="K473" s="8">
        <v>1700</v>
      </c>
      <c r="N473" s="13">
        <v>0.435</v>
      </c>
      <c r="O473" s="13">
        <v>0.435</v>
      </c>
      <c r="P473" s="13">
        <v>0.435</v>
      </c>
      <c r="Q473" s="8" t="s">
        <v>931</v>
      </c>
      <c r="R473" s="8">
        <f>N473*C473</f>
        <v>132.67500000000001</v>
      </c>
      <c r="S473" s="8">
        <f>O473*C473</f>
        <v>132.67500000000001</v>
      </c>
      <c r="T473" s="8">
        <f>P473*C473</f>
        <v>132.67500000000001</v>
      </c>
      <c r="V473" s="13">
        <v>8</v>
      </c>
      <c r="W473" s="13">
        <v>8</v>
      </c>
      <c r="X473" s="13">
        <v>8</v>
      </c>
    </row>
    <row r="474" spans="1:25" ht="32" x14ac:dyDescent="0.2">
      <c r="A474" s="9" t="s">
        <v>11</v>
      </c>
      <c r="B474" s="10" t="s">
        <v>586</v>
      </c>
      <c r="C474" s="8">
        <v>943</v>
      </c>
      <c r="D474" s="11" t="s">
        <v>34</v>
      </c>
      <c r="E474" s="12">
        <v>1.25</v>
      </c>
      <c r="F474" s="12">
        <v>1178.75</v>
      </c>
      <c r="G474" s="8">
        <v>5</v>
      </c>
      <c r="H474" s="8">
        <v>15</v>
      </c>
      <c r="I474" s="8">
        <v>25</v>
      </c>
      <c r="J474" s="55">
        <f>C474*0.006*0.006</f>
        <v>3.3948000000000006E-2</v>
      </c>
      <c r="K474" s="8">
        <v>1700</v>
      </c>
      <c r="N474" s="13">
        <v>0.435</v>
      </c>
      <c r="O474" s="13">
        <v>0.435</v>
      </c>
      <c r="P474" s="13">
        <v>0.435</v>
      </c>
      <c r="Q474" s="8" t="s">
        <v>931</v>
      </c>
      <c r="R474" s="8">
        <f>N474*C474</f>
        <v>410.20499999999998</v>
      </c>
      <c r="S474" s="8">
        <f>O474*C474</f>
        <v>410.20499999999998</v>
      </c>
      <c r="T474" s="8">
        <f>P474*C474</f>
        <v>410.20499999999998</v>
      </c>
      <c r="V474" s="13">
        <v>8</v>
      </c>
      <c r="W474" s="13">
        <v>8</v>
      </c>
      <c r="X474" s="13">
        <v>8</v>
      </c>
    </row>
    <row r="475" spans="1:25" ht="16" x14ac:dyDescent="0.2">
      <c r="A475" s="9" t="s">
        <v>12</v>
      </c>
      <c r="B475" s="10" t="s">
        <v>587</v>
      </c>
      <c r="C475" s="8">
        <v>1057</v>
      </c>
      <c r="D475" s="11" t="s">
        <v>35</v>
      </c>
      <c r="E475" s="12">
        <v>2.5</v>
      </c>
      <c r="F475" s="12">
        <v>2642.5</v>
      </c>
      <c r="G475" s="8">
        <v>1</v>
      </c>
      <c r="H475" s="8">
        <v>1</v>
      </c>
      <c r="I475" s="8">
        <v>1</v>
      </c>
      <c r="J475" s="55">
        <f>C475*0.002</f>
        <v>2.1139999999999999</v>
      </c>
      <c r="K475" s="8">
        <v>920</v>
      </c>
      <c r="V475" s="13">
        <v>45</v>
      </c>
      <c r="W475" s="13">
        <v>61.67</v>
      </c>
      <c r="X475" s="13">
        <v>78.34</v>
      </c>
    </row>
    <row r="476" spans="1:25" ht="32" x14ac:dyDescent="0.2">
      <c r="A476" s="9" t="s">
        <v>13</v>
      </c>
      <c r="B476" s="10" t="s">
        <v>588</v>
      </c>
      <c r="C476" s="8">
        <v>79</v>
      </c>
      <c r="D476" s="11" t="s">
        <v>34</v>
      </c>
      <c r="E476" s="12">
        <v>3</v>
      </c>
      <c r="F476" s="12">
        <v>237</v>
      </c>
      <c r="G476" s="8">
        <v>1</v>
      </c>
      <c r="H476" s="8">
        <v>1</v>
      </c>
      <c r="I476" s="8">
        <v>1</v>
      </c>
      <c r="K476" s="8">
        <v>920</v>
      </c>
      <c r="V476" s="13">
        <v>45</v>
      </c>
      <c r="W476" s="13">
        <v>61.67</v>
      </c>
      <c r="X476" s="13">
        <v>78.34</v>
      </c>
    </row>
    <row r="477" spans="1:25" ht="32" x14ac:dyDescent="0.2">
      <c r="A477" s="9" t="s">
        <v>14</v>
      </c>
      <c r="B477" s="10" t="s">
        <v>589</v>
      </c>
      <c r="C477" s="8">
        <v>91</v>
      </c>
      <c r="D477" s="11" t="s">
        <v>34</v>
      </c>
      <c r="E477" s="12">
        <v>3</v>
      </c>
      <c r="F477" s="12">
        <v>273</v>
      </c>
      <c r="G477" s="8">
        <v>1</v>
      </c>
      <c r="H477" s="8">
        <v>1</v>
      </c>
      <c r="I477" s="8">
        <v>1</v>
      </c>
      <c r="K477" s="8">
        <v>920</v>
      </c>
      <c r="V477" s="13">
        <v>45</v>
      </c>
      <c r="W477" s="13">
        <v>61.67</v>
      </c>
      <c r="X477" s="13">
        <v>78.34</v>
      </c>
    </row>
    <row r="478" spans="1:25" ht="32" x14ac:dyDescent="0.2">
      <c r="A478" s="9" t="s">
        <v>15</v>
      </c>
      <c r="B478" s="10" t="s">
        <v>590</v>
      </c>
      <c r="C478" s="8">
        <v>2</v>
      </c>
      <c r="D478" s="11" t="s">
        <v>35</v>
      </c>
      <c r="E478" s="12">
        <v>2.5</v>
      </c>
      <c r="F478" s="12">
        <v>5</v>
      </c>
      <c r="G478" s="8">
        <v>1</v>
      </c>
      <c r="H478" s="8">
        <v>1</v>
      </c>
      <c r="I478" s="8">
        <v>1</v>
      </c>
      <c r="J478" s="55">
        <f>0.002*C478</f>
        <v>4.0000000000000001E-3</v>
      </c>
      <c r="K478" s="8">
        <v>920</v>
      </c>
      <c r="V478" s="13">
        <v>45</v>
      </c>
      <c r="W478" s="13">
        <v>61.67</v>
      </c>
      <c r="X478" s="13">
        <v>78.34</v>
      </c>
    </row>
    <row r="479" spans="1:25" ht="32" x14ac:dyDescent="0.2">
      <c r="A479" s="9" t="s">
        <v>16</v>
      </c>
      <c r="B479" s="10" t="s">
        <v>591</v>
      </c>
      <c r="C479" s="8">
        <v>6</v>
      </c>
      <c r="D479" s="11" t="s">
        <v>34</v>
      </c>
      <c r="E479" s="12">
        <v>3</v>
      </c>
      <c r="F479" s="12">
        <v>18</v>
      </c>
      <c r="G479" s="8">
        <v>1</v>
      </c>
      <c r="H479" s="8">
        <v>1</v>
      </c>
      <c r="I479" s="8">
        <v>1</v>
      </c>
      <c r="K479" s="8">
        <v>920</v>
      </c>
      <c r="V479" s="13">
        <v>45</v>
      </c>
      <c r="W479" s="13">
        <v>61.67</v>
      </c>
      <c r="X479" s="13">
        <v>78.34</v>
      </c>
    </row>
    <row r="480" spans="1:25" ht="16" x14ac:dyDescent="0.2">
      <c r="A480" s="9" t="s">
        <v>17</v>
      </c>
      <c r="B480" s="10" t="s">
        <v>592</v>
      </c>
      <c r="C480" s="8">
        <v>1057</v>
      </c>
      <c r="D480" s="11" t="s">
        <v>35</v>
      </c>
      <c r="E480" s="12">
        <v>1.5</v>
      </c>
      <c r="F480" s="12">
        <v>1585.5</v>
      </c>
      <c r="G480" s="8">
        <v>1</v>
      </c>
      <c r="H480" s="8">
        <v>1</v>
      </c>
      <c r="I480" s="8">
        <v>1</v>
      </c>
      <c r="V480" s="13"/>
      <c r="W480" s="13"/>
      <c r="X480" s="13"/>
    </row>
    <row r="481" spans="1:24" ht="16" x14ac:dyDescent="0.2">
      <c r="A481" s="9" t="s">
        <v>18</v>
      </c>
      <c r="B481" s="10" t="s">
        <v>593</v>
      </c>
      <c r="C481" s="8">
        <v>79</v>
      </c>
      <c r="D481" s="11" t="s">
        <v>34</v>
      </c>
      <c r="E481" s="12">
        <v>1</v>
      </c>
      <c r="F481" s="12">
        <v>79</v>
      </c>
      <c r="G481" s="8">
        <v>1</v>
      </c>
      <c r="H481" s="8">
        <v>1</v>
      </c>
      <c r="I481" s="8">
        <v>1</v>
      </c>
      <c r="V481" s="13"/>
      <c r="W481" s="13"/>
      <c r="X481" s="13"/>
    </row>
    <row r="482" spans="1:24" ht="16" x14ac:dyDescent="0.2">
      <c r="A482" s="9" t="s">
        <v>19</v>
      </c>
      <c r="B482" s="10" t="s">
        <v>594</v>
      </c>
      <c r="C482" s="8">
        <v>91</v>
      </c>
      <c r="D482" s="11" t="s">
        <v>34</v>
      </c>
      <c r="E482" s="12">
        <v>1</v>
      </c>
      <c r="F482" s="12">
        <v>91</v>
      </c>
      <c r="G482" s="8">
        <v>1</v>
      </c>
      <c r="H482" s="8">
        <v>1</v>
      </c>
      <c r="I482" s="8">
        <v>1</v>
      </c>
      <c r="V482" s="13"/>
      <c r="W482" s="13"/>
      <c r="X482" s="13"/>
    </row>
    <row r="483" spans="1:24" ht="16" x14ac:dyDescent="0.2">
      <c r="A483" s="9" t="s">
        <v>20</v>
      </c>
      <c r="B483" s="10" t="s">
        <v>595</v>
      </c>
      <c r="C483" s="8">
        <v>2</v>
      </c>
      <c r="D483" s="11" t="s">
        <v>35</v>
      </c>
      <c r="E483" s="12">
        <v>1.5</v>
      </c>
      <c r="F483" s="12">
        <v>3</v>
      </c>
      <c r="G483" s="8">
        <v>1</v>
      </c>
      <c r="H483" s="8">
        <v>1</v>
      </c>
      <c r="I483" s="8">
        <v>1</v>
      </c>
      <c r="V483" s="13"/>
      <c r="W483" s="13"/>
      <c r="X483" s="13"/>
    </row>
    <row r="484" spans="1:24" ht="16" x14ac:dyDescent="0.2">
      <c r="A484" s="9" t="s">
        <v>21</v>
      </c>
      <c r="B484" s="10" t="s">
        <v>596</v>
      </c>
      <c r="C484" s="8">
        <v>6</v>
      </c>
      <c r="D484" s="11" t="s">
        <v>34</v>
      </c>
      <c r="E484" s="12">
        <v>1</v>
      </c>
      <c r="F484" s="12">
        <v>6</v>
      </c>
      <c r="G484" s="8">
        <v>1</v>
      </c>
      <c r="H484" s="8">
        <v>1</v>
      </c>
      <c r="I484" s="8">
        <v>1</v>
      </c>
      <c r="V484" s="13"/>
      <c r="W484" s="13"/>
      <c r="X484" s="13"/>
    </row>
    <row r="485" spans="1:24" ht="32" x14ac:dyDescent="0.2">
      <c r="A485" s="9" t="s">
        <v>6</v>
      </c>
      <c r="B485" s="10" t="s">
        <v>597</v>
      </c>
      <c r="C485" s="8">
        <v>293</v>
      </c>
      <c r="D485" s="11" t="s">
        <v>35</v>
      </c>
      <c r="E485" s="12">
        <v>5.7</v>
      </c>
      <c r="F485" s="12">
        <v>1670.1</v>
      </c>
      <c r="G485" s="8">
        <v>24</v>
      </c>
      <c r="H485" s="8">
        <v>40</v>
      </c>
      <c r="I485" s="8">
        <v>50</v>
      </c>
      <c r="J485" s="55">
        <f>C485*0.015</f>
        <v>4.3949999999999996</v>
      </c>
      <c r="K485" s="13">
        <v>950</v>
      </c>
      <c r="L485" s="13"/>
      <c r="N485" s="8">
        <v>0.39</v>
      </c>
      <c r="O485" s="8">
        <v>0.39</v>
      </c>
      <c r="P485" s="8">
        <v>0.39</v>
      </c>
      <c r="R485" s="8">
        <f>N485*K485*J485</f>
        <v>1628.3474999999999</v>
      </c>
      <c r="S485" s="8">
        <f>O485*K485*J485</f>
        <v>1628.3474999999999</v>
      </c>
      <c r="T485" s="8">
        <f>P485*K485*J485</f>
        <v>1628.3474999999999</v>
      </c>
      <c r="V485" s="13">
        <v>6.75</v>
      </c>
      <c r="W485" s="13">
        <v>6.75</v>
      </c>
      <c r="X485" s="13">
        <v>6.75</v>
      </c>
    </row>
    <row r="486" spans="1:24" ht="32" x14ac:dyDescent="0.2">
      <c r="A486" s="9" t="s">
        <v>9</v>
      </c>
      <c r="B486" s="10" t="s">
        <v>598</v>
      </c>
      <c r="C486" s="8">
        <v>13</v>
      </c>
      <c r="D486" s="11" t="s">
        <v>35</v>
      </c>
      <c r="E486" s="12">
        <v>7.25</v>
      </c>
      <c r="F486" s="12">
        <v>94.25</v>
      </c>
      <c r="G486" s="8">
        <v>24</v>
      </c>
      <c r="H486" s="8">
        <v>40</v>
      </c>
      <c r="I486" s="8">
        <v>50</v>
      </c>
      <c r="J486" s="55">
        <f>C486*0.015</f>
        <v>0.19500000000000001</v>
      </c>
      <c r="K486" s="13">
        <v>950</v>
      </c>
      <c r="L486" s="13"/>
      <c r="N486" s="8">
        <v>0.39</v>
      </c>
      <c r="O486" s="8">
        <v>0.39</v>
      </c>
      <c r="P486" s="8">
        <v>0.39</v>
      </c>
      <c r="R486" s="8">
        <f t="shared" ref="R486:R504" si="162">N486*K486*J486</f>
        <v>72.247500000000002</v>
      </c>
      <c r="S486" s="8">
        <f t="shared" ref="S486:S504" si="163">O486*K486*J486</f>
        <v>72.247500000000002</v>
      </c>
      <c r="T486" s="8">
        <f t="shared" ref="T486:T504" si="164">P486*K486*J486</f>
        <v>72.247500000000002</v>
      </c>
      <c r="V486" s="13">
        <v>6.75</v>
      </c>
      <c r="W486" s="13">
        <v>6.75</v>
      </c>
      <c r="X486" s="13">
        <v>6.75</v>
      </c>
    </row>
    <row r="487" spans="1:24" ht="32" x14ac:dyDescent="0.2">
      <c r="A487" s="9" t="s">
        <v>10</v>
      </c>
      <c r="B487" s="10" t="s">
        <v>602</v>
      </c>
      <c r="C487" s="8">
        <v>61</v>
      </c>
      <c r="D487" s="11" t="s">
        <v>36</v>
      </c>
      <c r="E487" s="12">
        <v>4.5</v>
      </c>
      <c r="F487" s="12">
        <v>274.5</v>
      </c>
      <c r="G487" s="8">
        <v>24</v>
      </c>
      <c r="H487" s="8">
        <v>40</v>
      </c>
      <c r="I487" s="8">
        <v>50</v>
      </c>
      <c r="V487" s="13"/>
      <c r="W487" s="13"/>
      <c r="X487" s="13"/>
    </row>
    <row r="488" spans="1:24" ht="16" x14ac:dyDescent="0.2">
      <c r="A488" s="9" t="s">
        <v>11</v>
      </c>
      <c r="B488" s="10" t="s">
        <v>601</v>
      </c>
      <c r="C488" s="8">
        <v>1</v>
      </c>
      <c r="D488" s="11" t="s">
        <v>7</v>
      </c>
      <c r="E488" s="12">
        <v>500</v>
      </c>
      <c r="F488" s="12">
        <v>500</v>
      </c>
      <c r="G488" s="8">
        <v>24</v>
      </c>
      <c r="H488" s="8">
        <v>40</v>
      </c>
      <c r="I488" s="8">
        <v>50</v>
      </c>
      <c r="V488" s="13"/>
      <c r="W488" s="13"/>
      <c r="X488" s="13"/>
    </row>
    <row r="489" spans="1:24" ht="32" x14ac:dyDescent="0.2">
      <c r="A489" s="9" t="s">
        <v>12</v>
      </c>
      <c r="B489" s="10" t="s">
        <v>599</v>
      </c>
      <c r="C489" s="8">
        <v>1</v>
      </c>
      <c r="D489" s="11" t="s">
        <v>7</v>
      </c>
      <c r="E489" s="12">
        <v>500</v>
      </c>
      <c r="F489" s="12">
        <v>500</v>
      </c>
      <c r="G489" s="8">
        <v>1</v>
      </c>
      <c r="H489" s="8">
        <v>1</v>
      </c>
      <c r="I489" s="8">
        <v>1</v>
      </c>
      <c r="V489" s="13"/>
      <c r="W489" s="13"/>
      <c r="X489" s="13"/>
    </row>
    <row r="490" spans="1:24" ht="32" x14ac:dyDescent="0.2">
      <c r="A490" s="9" t="s">
        <v>13</v>
      </c>
      <c r="B490" s="10" t="s">
        <v>600</v>
      </c>
      <c r="C490" s="8">
        <v>25</v>
      </c>
      <c r="D490" s="11" t="s">
        <v>35</v>
      </c>
      <c r="E490" s="12">
        <v>1.35</v>
      </c>
      <c r="F490" s="12">
        <v>33.75</v>
      </c>
      <c r="V490" s="13"/>
      <c r="W490" s="13"/>
      <c r="X490" s="13"/>
    </row>
    <row r="491" spans="1:24" ht="32" x14ac:dyDescent="0.2">
      <c r="A491" s="9" t="s">
        <v>14</v>
      </c>
      <c r="B491" s="10" t="s">
        <v>603</v>
      </c>
      <c r="C491" s="8">
        <v>273</v>
      </c>
      <c r="D491" s="11" t="s">
        <v>35</v>
      </c>
      <c r="E491" s="12">
        <v>7.2</v>
      </c>
      <c r="F491" s="12">
        <v>1965.6</v>
      </c>
      <c r="G491" s="8">
        <v>24</v>
      </c>
      <c r="H491" s="8">
        <v>40</v>
      </c>
      <c r="I491" s="8">
        <v>50</v>
      </c>
      <c r="J491" s="55">
        <f>C491*0.015</f>
        <v>4.0949999999999998</v>
      </c>
      <c r="K491" s="13">
        <v>950</v>
      </c>
      <c r="L491" s="13"/>
      <c r="N491" s="8">
        <v>0.39</v>
      </c>
      <c r="O491" s="8">
        <v>0.39</v>
      </c>
      <c r="P491" s="8">
        <v>0.39</v>
      </c>
      <c r="R491" s="8">
        <f t="shared" si="162"/>
        <v>1517.1975</v>
      </c>
      <c r="S491" s="8">
        <f t="shared" si="163"/>
        <v>1517.1975</v>
      </c>
      <c r="T491" s="8">
        <f t="shared" si="164"/>
        <v>1517.1975</v>
      </c>
      <c r="V491" s="13">
        <v>6.75</v>
      </c>
      <c r="W491" s="13">
        <v>6.75</v>
      </c>
      <c r="X491" s="13">
        <v>6.75</v>
      </c>
    </row>
    <row r="492" spans="1:24" ht="32" x14ac:dyDescent="0.2">
      <c r="A492" s="9" t="s">
        <v>15</v>
      </c>
      <c r="B492" s="10" t="s">
        <v>604</v>
      </c>
      <c r="C492" s="8">
        <v>187</v>
      </c>
      <c r="D492" s="11" t="s">
        <v>35</v>
      </c>
      <c r="E492" s="12">
        <v>7.2</v>
      </c>
      <c r="F492" s="12">
        <v>1346.4</v>
      </c>
      <c r="G492" s="8">
        <v>24</v>
      </c>
      <c r="H492" s="8">
        <v>40</v>
      </c>
      <c r="I492" s="8">
        <v>50</v>
      </c>
      <c r="J492" s="55">
        <f>C492*0.015</f>
        <v>2.8049999999999997</v>
      </c>
      <c r="K492" s="13">
        <v>950</v>
      </c>
      <c r="L492" s="13"/>
      <c r="N492" s="8">
        <v>0.39</v>
      </c>
      <c r="O492" s="8">
        <v>0.39</v>
      </c>
      <c r="P492" s="8">
        <v>0.39</v>
      </c>
      <c r="R492" s="8">
        <f t="shared" si="162"/>
        <v>1039.2524999999998</v>
      </c>
      <c r="S492" s="8">
        <f t="shared" si="163"/>
        <v>1039.2524999999998</v>
      </c>
      <c r="T492" s="8">
        <f t="shared" si="164"/>
        <v>1039.2524999999998</v>
      </c>
      <c r="V492" s="13">
        <v>6.75</v>
      </c>
      <c r="W492" s="13">
        <v>6.75</v>
      </c>
      <c r="X492" s="13">
        <v>6.75</v>
      </c>
    </row>
    <row r="493" spans="1:24" ht="32" x14ac:dyDescent="0.2">
      <c r="A493" s="9" t="s">
        <v>16</v>
      </c>
      <c r="B493" s="10" t="s">
        <v>602</v>
      </c>
      <c r="C493" s="8">
        <v>84</v>
      </c>
      <c r="D493" s="11" t="s">
        <v>36</v>
      </c>
      <c r="E493" s="12">
        <v>4.5</v>
      </c>
      <c r="F493" s="12">
        <v>378</v>
      </c>
      <c r="G493" s="8">
        <v>24</v>
      </c>
      <c r="H493" s="8">
        <v>40</v>
      </c>
      <c r="I493" s="8">
        <v>50</v>
      </c>
      <c r="V493" s="13"/>
      <c r="W493" s="13"/>
      <c r="X493" s="13"/>
    </row>
    <row r="494" spans="1:24" ht="16" x14ac:dyDescent="0.2">
      <c r="A494" s="9" t="s">
        <v>17</v>
      </c>
      <c r="B494" s="10" t="s">
        <v>601</v>
      </c>
      <c r="C494" s="8">
        <v>1</v>
      </c>
      <c r="D494" s="11" t="s">
        <v>7</v>
      </c>
      <c r="E494" s="12">
        <v>500</v>
      </c>
      <c r="F494" s="12">
        <v>500</v>
      </c>
      <c r="G494" s="8">
        <v>24</v>
      </c>
      <c r="H494" s="8">
        <v>40</v>
      </c>
      <c r="I494" s="8">
        <v>50</v>
      </c>
      <c r="V494" s="13"/>
      <c r="W494" s="13"/>
      <c r="X494" s="13"/>
    </row>
    <row r="495" spans="1:24" ht="32" x14ac:dyDescent="0.2">
      <c r="A495" s="9" t="s">
        <v>18</v>
      </c>
      <c r="B495" s="10" t="s">
        <v>599</v>
      </c>
      <c r="C495" s="8">
        <v>1</v>
      </c>
      <c r="D495" s="11" t="s">
        <v>7</v>
      </c>
      <c r="E495" s="12">
        <v>500</v>
      </c>
      <c r="F495" s="12">
        <v>500</v>
      </c>
      <c r="G495" s="8">
        <v>1</v>
      </c>
      <c r="H495" s="8">
        <v>1</v>
      </c>
      <c r="I495" s="8">
        <v>1</v>
      </c>
      <c r="V495" s="13"/>
      <c r="W495" s="13"/>
      <c r="X495" s="13"/>
    </row>
    <row r="496" spans="1:24" ht="32" x14ac:dyDescent="0.2">
      <c r="A496" s="9" t="s">
        <v>19</v>
      </c>
      <c r="B496" s="10" t="s">
        <v>605</v>
      </c>
      <c r="C496" s="8">
        <v>49</v>
      </c>
      <c r="D496" s="11" t="s">
        <v>35</v>
      </c>
      <c r="E496" s="12">
        <v>1.35</v>
      </c>
      <c r="F496" s="12">
        <v>66.150000000000006</v>
      </c>
      <c r="J496" s="55">
        <f>C496*0.015</f>
        <v>0.73499999999999999</v>
      </c>
      <c r="K496" s="13">
        <v>950</v>
      </c>
      <c r="L496" s="13"/>
      <c r="N496" s="8">
        <v>0.39</v>
      </c>
      <c r="O496" s="8">
        <v>0.39</v>
      </c>
      <c r="P496" s="8">
        <v>0.39</v>
      </c>
      <c r="R496" s="8">
        <f t="shared" si="162"/>
        <v>272.3175</v>
      </c>
      <c r="S496" s="8">
        <f t="shared" si="163"/>
        <v>272.3175</v>
      </c>
      <c r="T496" s="8">
        <f t="shared" si="164"/>
        <v>272.3175</v>
      </c>
      <c r="V496" s="13">
        <v>6.75</v>
      </c>
      <c r="W496" s="13">
        <v>6.75</v>
      </c>
      <c r="X496" s="13">
        <v>6.75</v>
      </c>
    </row>
    <row r="497" spans="1:25" ht="48" x14ac:dyDescent="0.2">
      <c r="A497" s="9" t="s">
        <v>6</v>
      </c>
      <c r="B497" s="10" t="s">
        <v>606</v>
      </c>
      <c r="C497" s="8">
        <v>340</v>
      </c>
      <c r="D497" s="11" t="s">
        <v>35</v>
      </c>
      <c r="E497" s="12">
        <v>21.3</v>
      </c>
      <c r="F497" s="12">
        <v>7242</v>
      </c>
      <c r="G497" s="8">
        <v>17</v>
      </c>
      <c r="H497" s="8">
        <v>26</v>
      </c>
      <c r="I497" s="8">
        <v>37</v>
      </c>
      <c r="J497" s="55">
        <f>C497*0.015</f>
        <v>5.0999999999999996</v>
      </c>
      <c r="K497" s="13">
        <v>950</v>
      </c>
      <c r="L497" s="13"/>
      <c r="N497" s="8">
        <v>0.39</v>
      </c>
      <c r="O497" s="8">
        <v>0.39</v>
      </c>
      <c r="P497" s="8">
        <v>0.39</v>
      </c>
      <c r="R497" s="8">
        <f t="shared" si="162"/>
        <v>1889.55</v>
      </c>
      <c r="S497" s="8">
        <f t="shared" si="163"/>
        <v>1889.55</v>
      </c>
      <c r="T497" s="8">
        <f t="shared" si="164"/>
        <v>1889.55</v>
      </c>
      <c r="V497" s="13">
        <v>6.75</v>
      </c>
      <c r="W497" s="13">
        <v>6.75</v>
      </c>
      <c r="X497" s="13">
        <v>6.75</v>
      </c>
    </row>
    <row r="498" spans="1:25" ht="48" x14ac:dyDescent="0.2">
      <c r="A498" s="9" t="s">
        <v>9</v>
      </c>
      <c r="B498" s="10" t="s">
        <v>607</v>
      </c>
      <c r="C498" s="8">
        <v>5</v>
      </c>
      <c r="D498" s="11" t="s">
        <v>35</v>
      </c>
      <c r="E498" s="12">
        <v>25</v>
      </c>
      <c r="F498" s="12">
        <v>125</v>
      </c>
      <c r="G498" s="8">
        <v>17</v>
      </c>
      <c r="H498" s="8">
        <v>26</v>
      </c>
      <c r="I498" s="8">
        <v>37</v>
      </c>
      <c r="J498" s="55">
        <f>C498*0.015</f>
        <v>7.4999999999999997E-2</v>
      </c>
      <c r="K498" s="13">
        <v>950</v>
      </c>
      <c r="L498" s="13"/>
      <c r="N498" s="8">
        <v>0.39</v>
      </c>
      <c r="O498" s="8">
        <v>0.39</v>
      </c>
      <c r="P498" s="8">
        <v>0.39</v>
      </c>
      <c r="R498" s="8">
        <f t="shared" si="162"/>
        <v>27.787499999999998</v>
      </c>
      <c r="S498" s="8">
        <f t="shared" si="163"/>
        <v>27.787499999999998</v>
      </c>
      <c r="T498" s="8">
        <f t="shared" si="164"/>
        <v>27.787499999999998</v>
      </c>
      <c r="V498" s="13">
        <v>6.75</v>
      </c>
      <c r="W498" s="13">
        <v>6.75</v>
      </c>
      <c r="X498" s="13">
        <v>6.75</v>
      </c>
    </row>
    <row r="499" spans="1:25" ht="32" x14ac:dyDescent="0.2">
      <c r="A499" s="9" t="s">
        <v>10</v>
      </c>
      <c r="B499" s="10" t="s">
        <v>608</v>
      </c>
      <c r="C499" s="8">
        <v>69</v>
      </c>
      <c r="D499" s="11" t="s">
        <v>36</v>
      </c>
      <c r="E499" s="12">
        <v>4.5</v>
      </c>
      <c r="F499" s="12">
        <v>310.5</v>
      </c>
      <c r="G499" s="8">
        <v>17</v>
      </c>
      <c r="H499" s="8">
        <v>26</v>
      </c>
      <c r="I499" s="8">
        <v>37</v>
      </c>
      <c r="V499" s="13"/>
      <c r="W499" s="13"/>
      <c r="X499" s="13"/>
    </row>
    <row r="500" spans="1:25" ht="16" x14ac:dyDescent="0.2">
      <c r="A500" s="9" t="s">
        <v>11</v>
      </c>
      <c r="B500" s="10" t="s">
        <v>609</v>
      </c>
      <c r="C500" s="8">
        <v>1</v>
      </c>
      <c r="D500" s="11" t="s">
        <v>7</v>
      </c>
      <c r="E500" s="12">
        <v>500</v>
      </c>
      <c r="F500" s="12">
        <v>500</v>
      </c>
      <c r="G500" s="8">
        <v>17</v>
      </c>
      <c r="H500" s="8">
        <v>26</v>
      </c>
      <c r="I500" s="8">
        <v>37</v>
      </c>
      <c r="V500" s="13"/>
      <c r="W500" s="13"/>
      <c r="X500" s="13"/>
    </row>
    <row r="501" spans="1:25" ht="32" x14ac:dyDescent="0.2">
      <c r="A501" s="9" t="s">
        <v>12</v>
      </c>
      <c r="B501" s="10" t="s">
        <v>610</v>
      </c>
      <c r="C501" s="8">
        <v>1</v>
      </c>
      <c r="D501" s="11" t="s">
        <v>7</v>
      </c>
      <c r="E501" s="12">
        <v>500</v>
      </c>
      <c r="F501" s="12">
        <v>500</v>
      </c>
      <c r="G501" s="8">
        <v>1</v>
      </c>
      <c r="H501" s="8">
        <v>1</v>
      </c>
      <c r="I501" s="8">
        <v>1</v>
      </c>
      <c r="V501" s="13"/>
      <c r="W501" s="13"/>
      <c r="X501" s="13"/>
    </row>
    <row r="502" spans="1:25" ht="32" x14ac:dyDescent="0.2">
      <c r="A502" s="9" t="s">
        <v>13</v>
      </c>
      <c r="B502" s="10" t="s">
        <v>611</v>
      </c>
      <c r="C502" s="8">
        <v>30</v>
      </c>
      <c r="D502" s="11" t="s">
        <v>35</v>
      </c>
      <c r="E502" s="12">
        <v>1.35</v>
      </c>
      <c r="F502" s="12">
        <v>40.5</v>
      </c>
      <c r="J502" s="55">
        <f>C502*0.015</f>
        <v>0.44999999999999996</v>
      </c>
      <c r="K502" s="13">
        <v>950</v>
      </c>
      <c r="L502" s="13"/>
      <c r="N502" s="8">
        <v>0.39</v>
      </c>
      <c r="O502" s="8">
        <v>0.39</v>
      </c>
      <c r="P502" s="8">
        <v>0.39</v>
      </c>
      <c r="R502" s="8">
        <f t="shared" si="162"/>
        <v>166.72499999999999</v>
      </c>
      <c r="S502" s="8">
        <f t="shared" si="163"/>
        <v>166.72499999999999</v>
      </c>
      <c r="T502" s="8">
        <f t="shared" si="164"/>
        <v>166.72499999999999</v>
      </c>
      <c r="V502" s="13">
        <v>6.75</v>
      </c>
      <c r="W502" s="13">
        <v>6.75</v>
      </c>
      <c r="X502" s="13">
        <v>6.75</v>
      </c>
    </row>
    <row r="503" spans="1:25" ht="32" x14ac:dyDescent="0.2">
      <c r="A503" s="9" t="s">
        <v>14</v>
      </c>
      <c r="B503" s="10" t="s">
        <v>612</v>
      </c>
      <c r="C503" s="8">
        <v>906</v>
      </c>
      <c r="D503" s="11" t="s">
        <v>35</v>
      </c>
      <c r="E503" s="12">
        <v>5</v>
      </c>
      <c r="F503" s="12">
        <v>4530</v>
      </c>
      <c r="G503" s="8">
        <v>23</v>
      </c>
      <c r="H503" s="8">
        <v>38</v>
      </c>
      <c r="I503" s="8">
        <v>48</v>
      </c>
      <c r="J503" s="55">
        <f>C503*0.003</f>
        <v>2.718</v>
      </c>
      <c r="K503" s="13">
        <v>950</v>
      </c>
      <c r="L503" s="13"/>
      <c r="N503" s="8">
        <v>0.39</v>
      </c>
      <c r="O503" s="8">
        <v>0.39</v>
      </c>
      <c r="P503" s="8">
        <v>0.39</v>
      </c>
      <c r="R503" s="8">
        <f t="shared" si="162"/>
        <v>1007.019</v>
      </c>
      <c r="S503" s="8">
        <f t="shared" si="163"/>
        <v>1007.019</v>
      </c>
      <c r="T503" s="8">
        <f t="shared" si="164"/>
        <v>1007.019</v>
      </c>
      <c r="V503" s="13">
        <v>6.75</v>
      </c>
      <c r="W503" s="13">
        <v>6.75</v>
      </c>
      <c r="X503" s="13">
        <v>6.75</v>
      </c>
    </row>
    <row r="504" spans="1:25" ht="32" x14ac:dyDescent="0.2">
      <c r="A504" s="9" t="s">
        <v>15</v>
      </c>
      <c r="B504" s="10" t="s">
        <v>613</v>
      </c>
      <c r="C504" s="8">
        <v>205</v>
      </c>
      <c r="D504" s="11" t="s">
        <v>35</v>
      </c>
      <c r="E504" s="12">
        <v>5</v>
      </c>
      <c r="F504" s="12">
        <v>1025</v>
      </c>
      <c r="G504" s="8">
        <v>23</v>
      </c>
      <c r="H504" s="8">
        <v>38</v>
      </c>
      <c r="I504" s="8">
        <v>48</v>
      </c>
      <c r="J504" s="55">
        <f>C504*0.003</f>
        <v>0.61499999999999999</v>
      </c>
      <c r="K504" s="13">
        <v>950</v>
      </c>
      <c r="L504" s="13"/>
      <c r="N504" s="8">
        <v>0.39</v>
      </c>
      <c r="O504" s="8">
        <v>0.39</v>
      </c>
      <c r="P504" s="8">
        <v>0.39</v>
      </c>
      <c r="R504" s="8">
        <f t="shared" si="162"/>
        <v>227.85749999999999</v>
      </c>
      <c r="S504" s="8">
        <f t="shared" si="163"/>
        <v>227.85749999999999</v>
      </c>
      <c r="T504" s="8">
        <f t="shared" si="164"/>
        <v>227.85749999999999</v>
      </c>
      <c r="V504" s="13">
        <v>6.75</v>
      </c>
      <c r="W504" s="13">
        <v>6.75</v>
      </c>
      <c r="X504" s="13">
        <v>6.75</v>
      </c>
    </row>
    <row r="505" spans="1:25" ht="16" x14ac:dyDescent="0.2">
      <c r="A505" s="9" t="s">
        <v>16</v>
      </c>
      <c r="B505" s="10" t="s">
        <v>614</v>
      </c>
      <c r="C505" s="8">
        <v>1109</v>
      </c>
      <c r="D505" s="11" t="s">
        <v>34</v>
      </c>
      <c r="E505" s="12">
        <v>3.85</v>
      </c>
      <c r="F505" s="12">
        <v>4269.6499999999996</v>
      </c>
      <c r="V505" s="13"/>
      <c r="W505" s="13"/>
      <c r="X505" s="13"/>
    </row>
    <row r="506" spans="1:25" ht="16" x14ac:dyDescent="0.2">
      <c r="A506" s="9" t="s">
        <v>17</v>
      </c>
      <c r="B506" s="10" t="s">
        <v>615</v>
      </c>
      <c r="C506" s="8">
        <v>470</v>
      </c>
      <c r="D506" s="11" t="s">
        <v>36</v>
      </c>
      <c r="E506" s="12">
        <v>0.5</v>
      </c>
      <c r="F506" s="12">
        <v>235</v>
      </c>
      <c r="V506" s="13"/>
      <c r="W506" s="13"/>
      <c r="X506" s="13"/>
    </row>
    <row r="507" spans="1:25" ht="48" x14ac:dyDescent="0.2">
      <c r="A507" s="9" t="s">
        <v>6</v>
      </c>
      <c r="B507" s="10" t="s">
        <v>616</v>
      </c>
      <c r="C507" s="8">
        <v>1009</v>
      </c>
      <c r="D507" s="11" t="s">
        <v>35</v>
      </c>
      <c r="E507" s="12">
        <v>3.35</v>
      </c>
      <c r="F507" s="12">
        <v>3380.15</v>
      </c>
      <c r="G507" s="8">
        <v>4</v>
      </c>
      <c r="H507" s="8">
        <v>7</v>
      </c>
      <c r="I507" s="8">
        <v>11</v>
      </c>
      <c r="N507" s="8">
        <v>0.44</v>
      </c>
      <c r="O507" s="8">
        <v>0.44</v>
      </c>
      <c r="P507" s="8">
        <v>0.44</v>
      </c>
      <c r="Q507" s="8" t="s">
        <v>919</v>
      </c>
      <c r="R507" s="8">
        <f>N507*C507</f>
        <v>443.96</v>
      </c>
      <c r="S507" s="8">
        <f>O507*C507</f>
        <v>443.96</v>
      </c>
      <c r="T507" s="8">
        <f>P507*C507</f>
        <v>443.96</v>
      </c>
      <c r="V507" s="13">
        <v>10.5</v>
      </c>
      <c r="W507" s="13">
        <v>10.5</v>
      </c>
      <c r="X507" s="13">
        <v>10.5</v>
      </c>
      <c r="Y507" s="8" t="s">
        <v>920</v>
      </c>
    </row>
    <row r="508" spans="1:25" ht="48" x14ac:dyDescent="0.2">
      <c r="A508" s="9" t="s">
        <v>9</v>
      </c>
      <c r="B508" s="10" t="s">
        <v>617</v>
      </c>
      <c r="C508" s="8">
        <v>1109</v>
      </c>
      <c r="D508" s="11" t="s">
        <v>34</v>
      </c>
      <c r="E508" s="12">
        <v>1</v>
      </c>
      <c r="F508" s="12">
        <v>1109</v>
      </c>
      <c r="G508" s="8">
        <v>4</v>
      </c>
      <c r="H508" s="8">
        <v>7</v>
      </c>
      <c r="I508" s="8">
        <v>11</v>
      </c>
      <c r="J508" s="55">
        <f>C508*0.3</f>
        <v>332.7</v>
      </c>
      <c r="N508" s="8">
        <v>0.44</v>
      </c>
      <c r="O508" s="8">
        <v>0.44</v>
      </c>
      <c r="P508" s="8">
        <v>0.44</v>
      </c>
      <c r="Q508" s="8" t="s">
        <v>919</v>
      </c>
      <c r="R508" s="8">
        <f>N508*J508</f>
        <v>146.38800000000001</v>
      </c>
      <c r="S508" s="8">
        <f>O508*J508</f>
        <v>146.38800000000001</v>
      </c>
      <c r="T508" s="8">
        <f>P508*J508</f>
        <v>146.38800000000001</v>
      </c>
      <c r="V508" s="13">
        <v>10.5</v>
      </c>
      <c r="W508" s="13">
        <v>10.5</v>
      </c>
      <c r="X508" s="13">
        <v>10.5</v>
      </c>
    </row>
    <row r="509" spans="1:25" ht="48" x14ac:dyDescent="0.2">
      <c r="A509" s="9" t="s">
        <v>10</v>
      </c>
      <c r="B509" s="10" t="s">
        <v>616</v>
      </c>
      <c r="C509" s="8">
        <v>103</v>
      </c>
      <c r="D509" s="11" t="s">
        <v>35</v>
      </c>
      <c r="E509" s="12">
        <v>4.3499999999999996</v>
      </c>
      <c r="F509" s="12">
        <v>448.05</v>
      </c>
      <c r="G509" s="8">
        <v>4</v>
      </c>
      <c r="H509" s="8">
        <v>7</v>
      </c>
      <c r="I509" s="8">
        <v>11</v>
      </c>
      <c r="N509" s="8">
        <v>0.44</v>
      </c>
      <c r="O509" s="8">
        <v>0.44</v>
      </c>
      <c r="P509" s="8">
        <v>0.44</v>
      </c>
      <c r="Q509" s="8" t="s">
        <v>919</v>
      </c>
      <c r="R509" s="8">
        <f t="shared" ref="R509" si="165">N509*C509</f>
        <v>45.32</v>
      </c>
      <c r="S509" s="8">
        <f t="shared" ref="S509" si="166">O509*C509</f>
        <v>45.32</v>
      </c>
      <c r="T509" s="8">
        <f t="shared" ref="T509" si="167">P509*C509</f>
        <v>45.32</v>
      </c>
      <c r="V509" s="13">
        <v>10.5</v>
      </c>
      <c r="W509" s="13">
        <v>10.5</v>
      </c>
      <c r="X509" s="13">
        <v>10.5</v>
      </c>
    </row>
    <row r="510" spans="1:25" ht="16" x14ac:dyDescent="0.2">
      <c r="A510" s="9" t="s">
        <v>6</v>
      </c>
      <c r="B510" s="10" t="s">
        <v>8</v>
      </c>
      <c r="C510" s="8">
        <v>1</v>
      </c>
      <c r="D510" s="11" t="s">
        <v>7</v>
      </c>
      <c r="E510" s="12">
        <v>0</v>
      </c>
      <c r="F510" s="12">
        <v>0</v>
      </c>
      <c r="V510" s="13"/>
      <c r="W510" s="13"/>
      <c r="X510" s="13"/>
    </row>
    <row r="511" spans="1:25" ht="32" x14ac:dyDescent="0.2">
      <c r="A511" s="9" t="s">
        <v>9</v>
      </c>
      <c r="B511" s="10" t="s">
        <v>618</v>
      </c>
      <c r="C511" s="8">
        <v>10</v>
      </c>
      <c r="D511" s="11" t="s">
        <v>36</v>
      </c>
      <c r="E511" s="12">
        <v>60</v>
      </c>
      <c r="F511" s="12">
        <v>600</v>
      </c>
      <c r="G511" s="8">
        <v>5</v>
      </c>
      <c r="H511" s="8">
        <v>7</v>
      </c>
      <c r="I511" s="8">
        <v>10</v>
      </c>
      <c r="J511" s="55">
        <f>0.6*0.9*0.006*10</f>
        <v>3.2400000000000005E-2</v>
      </c>
      <c r="K511" s="8">
        <v>2500</v>
      </c>
      <c r="N511" s="8">
        <v>0.91</v>
      </c>
      <c r="O511" s="8">
        <v>0.91</v>
      </c>
      <c r="P511" s="8">
        <v>0.91</v>
      </c>
      <c r="R511" s="8">
        <f>N511*K511*J511</f>
        <v>73.710000000000008</v>
      </c>
      <c r="S511" s="8">
        <f>O511*K511*J511</f>
        <v>73.710000000000008</v>
      </c>
      <c r="T511" s="8">
        <f>P511*K511*J511</f>
        <v>73.710000000000008</v>
      </c>
      <c r="V511" s="13">
        <v>12.3</v>
      </c>
      <c r="W511" s="13">
        <v>16.809999999999999</v>
      </c>
      <c r="X511" s="13">
        <v>25.09</v>
      </c>
    </row>
    <row r="512" spans="1:25" ht="32" x14ac:dyDescent="0.2">
      <c r="A512" s="9" t="s">
        <v>10</v>
      </c>
      <c r="B512" s="10" t="s">
        <v>619</v>
      </c>
      <c r="C512" s="8">
        <v>10</v>
      </c>
      <c r="D512" s="11" t="s">
        <v>36</v>
      </c>
      <c r="E512" s="12">
        <v>211.2</v>
      </c>
      <c r="F512" s="12">
        <v>2112</v>
      </c>
      <c r="G512" s="8">
        <v>5</v>
      </c>
      <c r="H512" s="8">
        <v>7</v>
      </c>
      <c r="I512" s="8">
        <v>10</v>
      </c>
      <c r="J512" s="55">
        <f>1.2*1.6*10*0.006</f>
        <v>0.1152</v>
      </c>
      <c r="K512" s="8">
        <v>2500</v>
      </c>
      <c r="N512" s="8">
        <v>0.91</v>
      </c>
      <c r="O512" s="8">
        <v>0.91</v>
      </c>
      <c r="P512" s="8">
        <v>0.91</v>
      </c>
      <c r="R512" s="8">
        <f>N512*K512*J512</f>
        <v>262.08</v>
      </c>
      <c r="S512" s="8">
        <f>O512*K512*J512</f>
        <v>262.08</v>
      </c>
      <c r="T512" s="8">
        <f>P512*K512*J512</f>
        <v>262.08</v>
      </c>
      <c r="V512" s="13">
        <v>12.3</v>
      </c>
      <c r="W512" s="13">
        <v>16.809999999999999</v>
      </c>
      <c r="X512" s="13">
        <v>25.09</v>
      </c>
    </row>
    <row r="513" spans="1:24" ht="48" x14ac:dyDescent="0.2">
      <c r="A513" s="9" t="s">
        <v>11</v>
      </c>
      <c r="B513" s="10" t="s">
        <v>620</v>
      </c>
      <c r="C513" s="8">
        <v>20</v>
      </c>
      <c r="D513" s="11" t="s">
        <v>36</v>
      </c>
      <c r="E513" s="12">
        <v>64.78</v>
      </c>
      <c r="F513" s="12">
        <v>1295.5999999999999</v>
      </c>
      <c r="G513" s="8">
        <v>10</v>
      </c>
      <c r="H513" s="8">
        <v>20</v>
      </c>
      <c r="I513" s="8">
        <v>30</v>
      </c>
      <c r="J513" s="55">
        <f>2*0.026*20</f>
        <v>1.04</v>
      </c>
      <c r="K513" s="8">
        <v>550</v>
      </c>
      <c r="N513" s="8">
        <v>0.59</v>
      </c>
      <c r="O513" s="8">
        <v>0.59</v>
      </c>
      <c r="P513" s="8">
        <v>0.59</v>
      </c>
      <c r="R513" s="8">
        <f t="shared" ref="R513:R515" si="168">N513*K513*J513</f>
        <v>337.48</v>
      </c>
      <c r="S513" s="8">
        <f t="shared" ref="S513:S515" si="169">O513*K513*J513</f>
        <v>337.48</v>
      </c>
      <c r="T513" s="8">
        <f t="shared" ref="T513:T515" si="170">P513*K513*J513</f>
        <v>337.48</v>
      </c>
      <c r="V513" s="13">
        <v>0.72</v>
      </c>
      <c r="W513" s="13">
        <v>7.4</v>
      </c>
      <c r="X513" s="13">
        <v>13</v>
      </c>
    </row>
    <row r="514" spans="1:24" ht="16" x14ac:dyDescent="0.2">
      <c r="A514" s="9" t="s">
        <v>12</v>
      </c>
      <c r="B514" s="10" t="s">
        <v>621</v>
      </c>
      <c r="C514" s="8">
        <v>1</v>
      </c>
      <c r="D514" s="11" t="s">
        <v>7</v>
      </c>
      <c r="E514" s="12">
        <v>650</v>
      </c>
      <c r="F514" s="12">
        <v>650</v>
      </c>
      <c r="G514" s="8">
        <v>10</v>
      </c>
      <c r="H514" s="8">
        <v>15</v>
      </c>
      <c r="I514" s="8">
        <v>18</v>
      </c>
      <c r="J514" s="55">
        <f>0.675*31*0.25</f>
        <v>5.2312500000000002</v>
      </c>
      <c r="K514" s="8">
        <v>2500</v>
      </c>
      <c r="N514" s="8">
        <v>0.91</v>
      </c>
      <c r="O514" s="8">
        <v>0.91</v>
      </c>
      <c r="P514" s="8">
        <v>0.91</v>
      </c>
      <c r="R514" s="8">
        <f t="shared" si="168"/>
        <v>11901.09375</v>
      </c>
      <c r="S514" s="8">
        <f t="shared" si="169"/>
        <v>11901.09375</v>
      </c>
      <c r="T514" s="8">
        <f t="shared" si="170"/>
        <v>11901.09375</v>
      </c>
      <c r="V514" s="13">
        <v>16.5</v>
      </c>
      <c r="W514" s="13">
        <v>28</v>
      </c>
      <c r="X514" s="13">
        <v>42</v>
      </c>
    </row>
    <row r="515" spans="1:24" ht="16" x14ac:dyDescent="0.2">
      <c r="A515" s="9" t="s">
        <v>13</v>
      </c>
      <c r="B515" s="10" t="s">
        <v>622</v>
      </c>
      <c r="C515" s="8">
        <v>1</v>
      </c>
      <c r="D515" s="11" t="s">
        <v>7</v>
      </c>
      <c r="E515" s="12">
        <v>650</v>
      </c>
      <c r="F515" s="12">
        <v>650</v>
      </c>
      <c r="G515" s="8">
        <v>7</v>
      </c>
      <c r="H515" s="8">
        <v>7</v>
      </c>
      <c r="I515" s="8">
        <v>7</v>
      </c>
      <c r="J515" s="55">
        <f>0.2*0.045*0.18</f>
        <v>1.6199999999999999E-3</v>
      </c>
      <c r="K515" s="8">
        <v>2500</v>
      </c>
      <c r="N515" s="8">
        <v>0.91</v>
      </c>
      <c r="O515" s="8">
        <v>0.91</v>
      </c>
      <c r="P515" s="8">
        <v>0.91</v>
      </c>
      <c r="R515" s="8">
        <f t="shared" si="168"/>
        <v>3.6854999999999998</v>
      </c>
      <c r="S515" s="8">
        <f t="shared" si="169"/>
        <v>3.6854999999999998</v>
      </c>
      <c r="T515" s="8">
        <f t="shared" si="170"/>
        <v>3.6854999999999998</v>
      </c>
      <c r="V515" s="13">
        <v>16.5</v>
      </c>
      <c r="W515" s="13">
        <v>28</v>
      </c>
      <c r="X515" s="13">
        <v>42</v>
      </c>
    </row>
    <row r="516" spans="1:24" ht="16" x14ac:dyDescent="0.2">
      <c r="A516" s="9" t="s">
        <v>14</v>
      </c>
      <c r="B516" s="10" t="s">
        <v>623</v>
      </c>
      <c r="C516" s="8">
        <v>10</v>
      </c>
      <c r="D516" s="11" t="s">
        <v>36</v>
      </c>
      <c r="E516" s="12">
        <v>0</v>
      </c>
      <c r="F516" s="12">
        <v>0</v>
      </c>
      <c r="V516" s="13"/>
      <c r="W516" s="13"/>
      <c r="X516" s="13"/>
    </row>
    <row r="517" spans="1:24" ht="32" x14ac:dyDescent="0.2">
      <c r="A517" s="9" t="s">
        <v>6</v>
      </c>
      <c r="B517" s="10" t="s">
        <v>624</v>
      </c>
      <c r="C517" s="8">
        <v>10</v>
      </c>
      <c r="D517" s="11" t="s">
        <v>36</v>
      </c>
      <c r="E517" s="12">
        <v>0</v>
      </c>
      <c r="F517" s="12">
        <v>0</v>
      </c>
      <c r="J517" s="55">
        <f>3*0.62*0.04*10</f>
        <v>0.74399999999999999</v>
      </c>
      <c r="K517" s="13">
        <v>700</v>
      </c>
      <c r="L517" s="13"/>
      <c r="N517" s="8">
        <v>0.87</v>
      </c>
      <c r="O517" s="8">
        <v>0.87</v>
      </c>
      <c r="P517" s="8">
        <v>0.87</v>
      </c>
      <c r="R517" s="8">
        <f t="shared" ref="R517:R518" si="171">N517*K517*J517</f>
        <v>453.096</v>
      </c>
      <c r="S517" s="8">
        <f t="shared" ref="S517:S518" si="172">O517*K517*J517</f>
        <v>453.096</v>
      </c>
      <c r="T517" s="8">
        <f t="shared" ref="T517:T518" si="173">P517*K517*J517</f>
        <v>453.096</v>
      </c>
      <c r="V517" s="13">
        <v>0.33</v>
      </c>
      <c r="W517" s="13">
        <v>5.38</v>
      </c>
      <c r="X517" s="13">
        <v>16</v>
      </c>
    </row>
    <row r="518" spans="1:24" ht="32" x14ac:dyDescent="0.2">
      <c r="A518" s="9" t="s">
        <v>9</v>
      </c>
      <c r="B518" s="10" t="s">
        <v>625</v>
      </c>
      <c r="C518" s="8">
        <v>10</v>
      </c>
      <c r="D518" s="11" t="s">
        <v>36</v>
      </c>
      <c r="E518" s="12">
        <v>0</v>
      </c>
      <c r="F518" s="12">
        <v>0</v>
      </c>
      <c r="J518" s="55">
        <f>3*0.62*0.04*10</f>
        <v>0.74399999999999999</v>
      </c>
      <c r="K518" s="8">
        <v>700</v>
      </c>
      <c r="N518" s="8">
        <v>0.87</v>
      </c>
      <c r="O518" s="8">
        <v>0.87</v>
      </c>
      <c r="P518" s="8">
        <v>0.87</v>
      </c>
      <c r="R518" s="8">
        <f t="shared" si="171"/>
        <v>453.096</v>
      </c>
      <c r="S518" s="8">
        <f t="shared" si="172"/>
        <v>453.096</v>
      </c>
      <c r="T518" s="8">
        <f t="shared" si="173"/>
        <v>453.096</v>
      </c>
      <c r="V518" s="13">
        <v>0.33</v>
      </c>
      <c r="W518" s="13">
        <v>5.38</v>
      </c>
      <c r="X518" s="13">
        <v>16</v>
      </c>
    </row>
    <row r="519" spans="1:24" ht="48" x14ac:dyDescent="0.2">
      <c r="A519" s="9" t="s">
        <v>10</v>
      </c>
      <c r="B519" s="10" t="s">
        <v>626</v>
      </c>
      <c r="C519" s="8">
        <v>10</v>
      </c>
      <c r="D519" s="11" t="s">
        <v>36</v>
      </c>
      <c r="E519" s="12">
        <v>0</v>
      </c>
      <c r="F519" s="12">
        <v>0</v>
      </c>
      <c r="V519" s="13"/>
      <c r="W519" s="13"/>
      <c r="X519" s="13"/>
    </row>
    <row r="520" spans="1:24" ht="16" x14ac:dyDescent="0.2">
      <c r="A520" s="9" t="s">
        <v>11</v>
      </c>
      <c r="B520" s="10" t="s">
        <v>58</v>
      </c>
      <c r="C520" s="8">
        <v>10</v>
      </c>
      <c r="D520" s="11" t="s">
        <v>36</v>
      </c>
      <c r="E520" s="12">
        <v>0</v>
      </c>
      <c r="F520" s="12">
        <v>0</v>
      </c>
      <c r="V520" s="13"/>
      <c r="W520" s="13"/>
      <c r="X520" s="13"/>
    </row>
    <row r="521" spans="1:24" ht="16" x14ac:dyDescent="0.2">
      <c r="A521" s="9" t="s">
        <v>12</v>
      </c>
      <c r="B521" s="10" t="s">
        <v>58</v>
      </c>
      <c r="C521" s="8">
        <v>10</v>
      </c>
      <c r="D521" s="11" t="s">
        <v>36</v>
      </c>
      <c r="E521" s="12">
        <v>0</v>
      </c>
      <c r="F521" s="12">
        <v>0</v>
      </c>
      <c r="V521" s="13"/>
      <c r="W521" s="13"/>
      <c r="X521" s="13"/>
    </row>
    <row r="522" spans="1:24" ht="16" x14ac:dyDescent="0.2">
      <c r="A522" s="9" t="s">
        <v>13</v>
      </c>
      <c r="B522" s="10" t="s">
        <v>59</v>
      </c>
      <c r="C522" s="8">
        <v>10</v>
      </c>
      <c r="D522" s="11" t="s">
        <v>36</v>
      </c>
      <c r="E522" s="12">
        <v>0</v>
      </c>
      <c r="F522" s="12">
        <v>0</v>
      </c>
      <c r="V522" s="13"/>
      <c r="W522" s="13"/>
      <c r="X522" s="13"/>
    </row>
    <row r="523" spans="1:24" ht="16" x14ac:dyDescent="0.2">
      <c r="A523" s="9" t="s">
        <v>14</v>
      </c>
      <c r="B523" s="10" t="s">
        <v>60</v>
      </c>
      <c r="C523" s="8">
        <v>10</v>
      </c>
      <c r="D523" s="11" t="s">
        <v>36</v>
      </c>
      <c r="E523" s="12">
        <v>0</v>
      </c>
      <c r="F523" s="12">
        <v>0</v>
      </c>
      <c r="V523" s="13"/>
      <c r="W523" s="13"/>
      <c r="X523" s="13"/>
    </row>
    <row r="524" spans="1:24" ht="16" x14ac:dyDescent="0.2">
      <c r="A524" s="9" t="s">
        <v>15</v>
      </c>
      <c r="B524" s="10" t="s">
        <v>627</v>
      </c>
      <c r="C524" s="8">
        <v>1</v>
      </c>
      <c r="D524" s="11" t="s">
        <v>7</v>
      </c>
      <c r="E524" s="12">
        <v>250</v>
      </c>
      <c r="F524" s="12">
        <v>250</v>
      </c>
      <c r="G524" s="8">
        <v>10</v>
      </c>
      <c r="H524" s="8">
        <v>20</v>
      </c>
      <c r="I524" s="8">
        <v>30</v>
      </c>
      <c r="J524" s="55">
        <f>0.07*0.09*0.003</f>
        <v>1.8900000000000002E-5</v>
      </c>
      <c r="K524" s="8">
        <v>2700</v>
      </c>
      <c r="N524" s="8">
        <v>1.81</v>
      </c>
      <c r="O524" s="8">
        <v>9.16</v>
      </c>
      <c r="P524" s="8">
        <v>12.79</v>
      </c>
      <c r="R524" s="8">
        <f t="shared" ref="R524:R527" si="174">N524*K524*J524</f>
        <v>9.236430000000001E-2</v>
      </c>
      <c r="S524" s="8">
        <f t="shared" ref="S524:S527" si="175">O524*K524*J524</f>
        <v>0.46743480000000004</v>
      </c>
      <c r="T524" s="8">
        <f t="shared" ref="T524:T527" si="176">P524*K524*J524</f>
        <v>0.65267370000000002</v>
      </c>
      <c r="V524" s="13">
        <v>124</v>
      </c>
      <c r="W524" s="13">
        <v>155</v>
      </c>
      <c r="X524" s="13">
        <v>186</v>
      </c>
    </row>
    <row r="525" spans="1:24" ht="16" x14ac:dyDescent="0.2">
      <c r="A525" s="9" t="s">
        <v>16</v>
      </c>
      <c r="B525" s="10" t="s">
        <v>627</v>
      </c>
      <c r="C525" s="8">
        <v>1</v>
      </c>
      <c r="D525" s="11" t="s">
        <v>7</v>
      </c>
      <c r="E525" s="12">
        <v>250</v>
      </c>
      <c r="F525" s="12">
        <v>250</v>
      </c>
      <c r="G525" s="8">
        <v>10</v>
      </c>
      <c r="H525" s="8">
        <v>20</v>
      </c>
      <c r="I525" s="8">
        <v>30</v>
      </c>
      <c r="J525" s="55">
        <f>0.07*0.09*0.003</f>
        <v>1.8900000000000002E-5</v>
      </c>
      <c r="K525" s="8">
        <v>2700</v>
      </c>
      <c r="N525" s="8">
        <v>1.81</v>
      </c>
      <c r="O525" s="8">
        <v>9.16</v>
      </c>
      <c r="P525" s="8">
        <v>12.79</v>
      </c>
      <c r="R525" s="8">
        <f t="shared" si="174"/>
        <v>9.236430000000001E-2</v>
      </c>
      <c r="S525" s="8">
        <f t="shared" si="175"/>
        <v>0.46743480000000004</v>
      </c>
      <c r="T525" s="8">
        <f t="shared" si="176"/>
        <v>0.65267370000000002</v>
      </c>
      <c r="V525" s="13">
        <v>124</v>
      </c>
      <c r="W525" s="13">
        <v>155</v>
      </c>
      <c r="X525" s="13">
        <v>186</v>
      </c>
    </row>
    <row r="526" spans="1:24" ht="16" x14ac:dyDescent="0.2">
      <c r="A526" s="9" t="s">
        <v>6</v>
      </c>
      <c r="B526" s="10" t="s">
        <v>628</v>
      </c>
      <c r="C526" s="8">
        <v>1</v>
      </c>
      <c r="D526" s="11" t="s">
        <v>7</v>
      </c>
      <c r="E526" s="12">
        <v>250</v>
      </c>
      <c r="F526" s="12">
        <v>250</v>
      </c>
      <c r="G526" s="8">
        <v>10</v>
      </c>
      <c r="H526" s="8">
        <v>20</v>
      </c>
      <c r="I526" s="8">
        <v>30</v>
      </c>
      <c r="J526" s="55">
        <f>0.07*0.09*0.003</f>
        <v>1.8900000000000002E-5</v>
      </c>
      <c r="K526" s="8">
        <v>2700</v>
      </c>
      <c r="N526" s="8">
        <v>1.81</v>
      </c>
      <c r="O526" s="8">
        <v>9.16</v>
      </c>
      <c r="P526" s="8">
        <v>12.79</v>
      </c>
      <c r="R526" s="8">
        <f t="shared" si="174"/>
        <v>9.236430000000001E-2</v>
      </c>
      <c r="S526" s="8">
        <f t="shared" si="175"/>
        <v>0.46743480000000004</v>
      </c>
      <c r="T526" s="8">
        <f t="shared" si="176"/>
        <v>0.65267370000000002</v>
      </c>
      <c r="V526" s="13">
        <v>124</v>
      </c>
      <c r="W526" s="13">
        <v>155</v>
      </c>
      <c r="X526" s="13">
        <v>186</v>
      </c>
    </row>
    <row r="527" spans="1:24" ht="16" x14ac:dyDescent="0.2">
      <c r="A527" s="9" t="s">
        <v>9</v>
      </c>
      <c r="B527" s="10" t="s">
        <v>628</v>
      </c>
      <c r="C527" s="8">
        <v>1</v>
      </c>
      <c r="D527" s="11" t="s">
        <v>7</v>
      </c>
      <c r="E527" s="12">
        <v>250</v>
      </c>
      <c r="F527" s="12">
        <v>250</v>
      </c>
      <c r="G527" s="8">
        <v>10</v>
      </c>
      <c r="H527" s="8">
        <v>20</v>
      </c>
      <c r="I527" s="8">
        <v>30</v>
      </c>
      <c r="J527" s="55">
        <f>0.07*0.09*0.003</f>
        <v>1.8900000000000002E-5</v>
      </c>
      <c r="K527" s="8">
        <v>2700</v>
      </c>
      <c r="N527" s="8">
        <v>1.81</v>
      </c>
      <c r="O527" s="8">
        <v>9.16</v>
      </c>
      <c r="P527" s="8">
        <v>12.79</v>
      </c>
      <c r="R527" s="8">
        <f t="shared" si="174"/>
        <v>9.236430000000001E-2</v>
      </c>
      <c r="S527" s="8">
        <f t="shared" si="175"/>
        <v>0.46743480000000004</v>
      </c>
      <c r="T527" s="8">
        <f t="shared" si="176"/>
        <v>0.65267370000000002</v>
      </c>
      <c r="V527" s="13">
        <v>124</v>
      </c>
      <c r="W527" s="13">
        <v>155</v>
      </c>
      <c r="X527" s="13">
        <v>186</v>
      </c>
    </row>
    <row r="528" spans="1:24" ht="64" x14ac:dyDescent="0.2">
      <c r="A528" s="9" t="s">
        <v>6</v>
      </c>
      <c r="B528" s="10" t="s">
        <v>629</v>
      </c>
      <c r="C528" s="8">
        <v>1</v>
      </c>
      <c r="D528" s="11" t="s">
        <v>7</v>
      </c>
      <c r="E528" s="14" t="s">
        <v>37</v>
      </c>
      <c r="F528" s="14" t="s">
        <v>37</v>
      </c>
      <c r="V528" s="13"/>
      <c r="W528" s="13"/>
      <c r="X528" s="13"/>
    </row>
    <row r="529" spans="1:24" ht="64" x14ac:dyDescent="0.2">
      <c r="A529" s="9" t="s">
        <v>9</v>
      </c>
      <c r="B529" s="10" t="s">
        <v>630</v>
      </c>
      <c r="C529" s="8">
        <v>1</v>
      </c>
      <c r="D529" s="11" t="s">
        <v>7</v>
      </c>
      <c r="E529" s="14" t="s">
        <v>37</v>
      </c>
      <c r="F529" s="14" t="s">
        <v>37</v>
      </c>
      <c r="V529" s="13"/>
      <c r="W529" s="13"/>
      <c r="X529" s="13"/>
    </row>
    <row r="530" spans="1:24" ht="64" x14ac:dyDescent="0.2">
      <c r="A530" s="9" t="s">
        <v>10</v>
      </c>
      <c r="B530" s="10" t="s">
        <v>631</v>
      </c>
      <c r="C530" s="8">
        <v>1</v>
      </c>
      <c r="D530" s="11" t="s">
        <v>7</v>
      </c>
      <c r="E530" s="14" t="s">
        <v>37</v>
      </c>
      <c r="F530" s="14" t="s">
        <v>37</v>
      </c>
      <c r="V530" s="13"/>
      <c r="W530" s="13"/>
      <c r="X530" s="13"/>
    </row>
    <row r="531" spans="1:24" ht="64" x14ac:dyDescent="0.2">
      <c r="A531" s="9" t="s">
        <v>11</v>
      </c>
      <c r="B531" s="10" t="s">
        <v>632</v>
      </c>
      <c r="C531" s="8">
        <v>1</v>
      </c>
      <c r="D531" s="11" t="s">
        <v>7</v>
      </c>
      <c r="E531" s="14" t="s">
        <v>37</v>
      </c>
      <c r="F531" s="14" t="s">
        <v>37</v>
      </c>
      <c r="V531" s="13"/>
      <c r="W531" s="13"/>
      <c r="X531" s="13"/>
    </row>
    <row r="532" spans="1:24" ht="32" x14ac:dyDescent="0.2">
      <c r="A532" s="9" t="s">
        <v>12</v>
      </c>
      <c r="B532" s="10" t="s">
        <v>61</v>
      </c>
      <c r="C532" s="8">
        <v>1</v>
      </c>
      <c r="D532" s="11" t="s">
        <v>7</v>
      </c>
      <c r="E532" s="14" t="s">
        <v>37</v>
      </c>
      <c r="F532" s="14" t="s">
        <v>37</v>
      </c>
      <c r="V532" s="13"/>
      <c r="W532" s="13"/>
      <c r="X532" s="13"/>
    </row>
    <row r="533" spans="1:24" ht="32" x14ac:dyDescent="0.2">
      <c r="A533" s="9" t="s">
        <v>13</v>
      </c>
      <c r="B533" s="10" t="s">
        <v>62</v>
      </c>
      <c r="C533" s="8">
        <v>1</v>
      </c>
      <c r="D533" s="11" t="s">
        <v>7</v>
      </c>
      <c r="E533" s="14" t="s">
        <v>37</v>
      </c>
      <c r="F533" s="14" t="s">
        <v>37</v>
      </c>
      <c r="V533" s="13"/>
      <c r="W533" s="13"/>
      <c r="X533" s="13"/>
    </row>
    <row r="534" spans="1:24" ht="48" x14ac:dyDescent="0.2">
      <c r="A534" s="9" t="s">
        <v>6</v>
      </c>
      <c r="B534" s="10" t="s">
        <v>633</v>
      </c>
      <c r="C534" s="8">
        <v>1</v>
      </c>
      <c r="D534" s="11" t="s">
        <v>7</v>
      </c>
      <c r="E534" s="12">
        <v>99590</v>
      </c>
      <c r="F534" s="12">
        <v>99590</v>
      </c>
      <c r="G534" s="8">
        <v>1</v>
      </c>
      <c r="H534" s="8">
        <v>1</v>
      </c>
      <c r="I534" s="8">
        <v>1</v>
      </c>
      <c r="V534" s="13"/>
      <c r="W534" s="13"/>
      <c r="X534" s="13"/>
    </row>
    <row r="535" spans="1:24" ht="48" x14ac:dyDescent="0.2">
      <c r="A535" s="9" t="s">
        <v>9</v>
      </c>
      <c r="B535" s="10" t="s">
        <v>634</v>
      </c>
      <c r="C535" s="8">
        <v>1</v>
      </c>
      <c r="D535" s="11" t="s">
        <v>7</v>
      </c>
      <c r="E535" s="14" t="s">
        <v>37</v>
      </c>
      <c r="F535" s="14" t="s">
        <v>37</v>
      </c>
      <c r="V535" s="13"/>
      <c r="W535" s="13"/>
      <c r="X535" s="13"/>
    </row>
    <row r="536" spans="1:24" ht="48" x14ac:dyDescent="0.2">
      <c r="A536" s="9" t="s">
        <v>10</v>
      </c>
      <c r="B536" s="10" t="s">
        <v>635</v>
      </c>
      <c r="C536" s="8">
        <v>1</v>
      </c>
      <c r="D536" s="11" t="s">
        <v>7</v>
      </c>
      <c r="E536" s="14" t="s">
        <v>37</v>
      </c>
      <c r="F536" s="14" t="s">
        <v>37</v>
      </c>
      <c r="V536" s="13"/>
      <c r="W536" s="13"/>
      <c r="X536" s="13"/>
    </row>
    <row r="537" spans="1:24" ht="48" x14ac:dyDescent="0.2">
      <c r="A537" s="9" t="s">
        <v>11</v>
      </c>
      <c r="B537" s="10" t="s">
        <v>636</v>
      </c>
      <c r="C537" s="8">
        <v>1</v>
      </c>
      <c r="D537" s="11" t="s">
        <v>7</v>
      </c>
      <c r="E537" s="14" t="s">
        <v>37</v>
      </c>
      <c r="F537" s="14" t="s">
        <v>37</v>
      </c>
      <c r="V537" s="13"/>
      <c r="W537" s="13"/>
      <c r="X537" s="13"/>
    </row>
    <row r="538" spans="1:24" ht="16" x14ac:dyDescent="0.2">
      <c r="A538" s="9" t="s">
        <v>12</v>
      </c>
      <c r="B538" s="10" t="s">
        <v>63</v>
      </c>
      <c r="C538" s="8">
        <v>1</v>
      </c>
      <c r="D538" s="11" t="s">
        <v>7</v>
      </c>
      <c r="E538" s="14" t="s">
        <v>37</v>
      </c>
      <c r="F538" s="14" t="s">
        <v>37</v>
      </c>
      <c r="V538" s="13"/>
      <c r="W538" s="13"/>
      <c r="X538" s="13"/>
    </row>
    <row r="539" spans="1:24" ht="32" x14ac:dyDescent="0.2">
      <c r="A539" s="9" t="s">
        <v>13</v>
      </c>
      <c r="B539" s="10" t="s">
        <v>64</v>
      </c>
      <c r="C539" s="8">
        <v>1</v>
      </c>
      <c r="D539" s="11" t="s">
        <v>7</v>
      </c>
      <c r="E539" s="14" t="s">
        <v>37</v>
      </c>
      <c r="F539" s="14" t="s">
        <v>37</v>
      </c>
      <c r="V539" s="13"/>
      <c r="W539" s="13"/>
      <c r="X539" s="13"/>
    </row>
    <row r="540" spans="1:24" ht="48" x14ac:dyDescent="0.2">
      <c r="A540" s="9" t="s">
        <v>6</v>
      </c>
      <c r="B540" s="10" t="s">
        <v>637</v>
      </c>
      <c r="C540" s="8">
        <v>1</v>
      </c>
      <c r="D540" s="11" t="s">
        <v>7</v>
      </c>
      <c r="E540" s="12">
        <v>74724.240000000005</v>
      </c>
      <c r="F540" s="12">
        <v>74724.240000000005</v>
      </c>
      <c r="G540" s="8">
        <v>20</v>
      </c>
      <c r="H540" s="8">
        <v>30</v>
      </c>
      <c r="I540" s="8">
        <v>43</v>
      </c>
      <c r="J540" s="55" t="s">
        <v>102</v>
      </c>
      <c r="V540" s="13"/>
      <c r="W540" s="13"/>
      <c r="X540" s="13"/>
    </row>
    <row r="541" spans="1:24" ht="48" x14ac:dyDescent="0.2">
      <c r="A541" s="9" t="s">
        <v>9</v>
      </c>
      <c r="B541" s="10" t="s">
        <v>638</v>
      </c>
      <c r="C541" s="8">
        <v>1</v>
      </c>
      <c r="D541" s="11" t="s">
        <v>7</v>
      </c>
      <c r="E541" s="14" t="s">
        <v>37</v>
      </c>
      <c r="F541" s="14" t="s">
        <v>37</v>
      </c>
      <c r="V541" s="13"/>
      <c r="W541" s="13"/>
      <c r="X541" s="13"/>
    </row>
    <row r="542" spans="1:24" ht="48" x14ac:dyDescent="0.2">
      <c r="A542" s="9" t="s">
        <v>10</v>
      </c>
      <c r="B542" s="10" t="s">
        <v>639</v>
      </c>
      <c r="C542" s="8">
        <v>1</v>
      </c>
      <c r="D542" s="11" t="s">
        <v>7</v>
      </c>
      <c r="E542" s="14" t="s">
        <v>37</v>
      </c>
      <c r="F542" s="14" t="s">
        <v>37</v>
      </c>
      <c r="V542" s="13"/>
      <c r="W542" s="13"/>
      <c r="X542" s="13"/>
    </row>
    <row r="543" spans="1:24" ht="48" x14ac:dyDescent="0.2">
      <c r="A543" s="9" t="s">
        <v>11</v>
      </c>
      <c r="B543" s="10" t="s">
        <v>640</v>
      </c>
      <c r="C543" s="8">
        <v>1</v>
      </c>
      <c r="D543" s="11" t="s">
        <v>7</v>
      </c>
      <c r="E543" s="14" t="s">
        <v>37</v>
      </c>
      <c r="F543" s="14" t="s">
        <v>37</v>
      </c>
      <c r="V543" s="13"/>
      <c r="W543" s="13"/>
      <c r="X543" s="13"/>
    </row>
    <row r="544" spans="1:24" ht="48" x14ac:dyDescent="0.2">
      <c r="A544" s="9" t="s">
        <v>12</v>
      </c>
      <c r="B544" s="10" t="s">
        <v>641</v>
      </c>
      <c r="C544" s="8">
        <v>1</v>
      </c>
      <c r="D544" s="11" t="s">
        <v>7</v>
      </c>
      <c r="E544" s="14" t="s">
        <v>37</v>
      </c>
      <c r="F544" s="14" t="s">
        <v>37</v>
      </c>
      <c r="V544" s="13"/>
      <c r="W544" s="13"/>
      <c r="X544" s="13"/>
    </row>
    <row r="545" spans="1:25" ht="16" x14ac:dyDescent="0.2">
      <c r="A545" s="9" t="s">
        <v>13</v>
      </c>
      <c r="B545" s="10" t="s">
        <v>65</v>
      </c>
      <c r="C545" s="8">
        <v>1</v>
      </c>
      <c r="D545" s="11" t="s">
        <v>7</v>
      </c>
      <c r="E545" s="14" t="s">
        <v>37</v>
      </c>
      <c r="F545" s="14" t="s">
        <v>37</v>
      </c>
      <c r="V545" s="13"/>
      <c r="W545" s="13"/>
      <c r="X545" s="13"/>
    </row>
    <row r="546" spans="1:25" ht="32" x14ac:dyDescent="0.2">
      <c r="A546" s="9" t="s">
        <v>14</v>
      </c>
      <c r="B546" s="10" t="s">
        <v>66</v>
      </c>
      <c r="C546" s="8">
        <v>1</v>
      </c>
      <c r="D546" s="11" t="s">
        <v>7</v>
      </c>
      <c r="E546" s="14" t="s">
        <v>37</v>
      </c>
      <c r="F546" s="14" t="s">
        <v>37</v>
      </c>
      <c r="V546" s="13"/>
      <c r="W546" s="13"/>
      <c r="X546" s="13"/>
    </row>
    <row r="547" spans="1:25" ht="48" x14ac:dyDescent="0.2">
      <c r="A547" s="9" t="s">
        <v>6</v>
      </c>
      <c r="B547" s="10" t="s">
        <v>642</v>
      </c>
      <c r="C547" s="8">
        <v>1</v>
      </c>
      <c r="D547" s="11" t="s">
        <v>36</v>
      </c>
      <c r="E547" s="12">
        <v>21385</v>
      </c>
      <c r="F547" s="12">
        <v>21385</v>
      </c>
      <c r="G547" s="8">
        <v>19</v>
      </c>
      <c r="H547" s="8">
        <v>26</v>
      </c>
      <c r="I547" s="8">
        <v>34</v>
      </c>
      <c r="V547" s="13"/>
      <c r="W547" s="13"/>
      <c r="X547" s="13"/>
    </row>
    <row r="548" spans="1:25" ht="16" x14ac:dyDescent="0.2">
      <c r="A548" s="9" t="s">
        <v>9</v>
      </c>
      <c r="B548" s="10" t="s">
        <v>643</v>
      </c>
      <c r="C548" s="8">
        <v>1</v>
      </c>
      <c r="D548" s="11" t="s">
        <v>7</v>
      </c>
      <c r="E548" s="14" t="s">
        <v>67</v>
      </c>
      <c r="F548" s="14" t="s">
        <v>67</v>
      </c>
      <c r="V548" s="13"/>
      <c r="W548" s="13"/>
      <c r="X548" s="13"/>
    </row>
    <row r="549" spans="1:25" ht="32" x14ac:dyDescent="0.2">
      <c r="A549" s="9" t="s">
        <v>10</v>
      </c>
      <c r="B549" s="10" t="s">
        <v>68</v>
      </c>
      <c r="C549" s="8">
        <v>1</v>
      </c>
      <c r="D549" s="11" t="s">
        <v>7</v>
      </c>
      <c r="E549" s="14" t="s">
        <v>37</v>
      </c>
      <c r="F549" s="14" t="s">
        <v>37</v>
      </c>
      <c r="V549" s="13"/>
      <c r="W549" s="13"/>
      <c r="X549" s="13"/>
    </row>
    <row r="550" spans="1:25" ht="16" x14ac:dyDescent="0.2">
      <c r="A550" s="9" t="s">
        <v>11</v>
      </c>
      <c r="B550" s="10" t="s">
        <v>69</v>
      </c>
      <c r="C550" s="8">
        <v>1</v>
      </c>
      <c r="D550" s="11" t="s">
        <v>7</v>
      </c>
      <c r="E550" s="14" t="s">
        <v>37</v>
      </c>
      <c r="F550" s="14" t="s">
        <v>37</v>
      </c>
      <c r="V550" s="13"/>
      <c r="W550" s="13"/>
      <c r="X550" s="13"/>
    </row>
    <row r="551" spans="1:25" ht="32" x14ac:dyDescent="0.2">
      <c r="A551" s="9" t="s">
        <v>12</v>
      </c>
      <c r="B551" s="10" t="s">
        <v>70</v>
      </c>
      <c r="C551" s="8">
        <v>1</v>
      </c>
      <c r="D551" s="11" t="s">
        <v>7</v>
      </c>
      <c r="E551" s="14" t="s">
        <v>37</v>
      </c>
      <c r="F551" s="14" t="s">
        <v>37</v>
      </c>
      <c r="V551" s="13"/>
      <c r="W551" s="13"/>
      <c r="X551" s="13"/>
    </row>
    <row r="552" spans="1:25" ht="48" x14ac:dyDescent="0.2">
      <c r="A552" s="9" t="s">
        <v>13</v>
      </c>
      <c r="B552" s="10" t="s">
        <v>644</v>
      </c>
      <c r="C552" s="8">
        <v>1</v>
      </c>
      <c r="D552" s="11" t="s">
        <v>36</v>
      </c>
      <c r="E552" s="14" t="s">
        <v>67</v>
      </c>
      <c r="F552" s="14" t="s">
        <v>67</v>
      </c>
      <c r="V552" s="13"/>
      <c r="W552" s="13"/>
      <c r="X552" s="13"/>
    </row>
    <row r="553" spans="1:25" ht="48" x14ac:dyDescent="0.2">
      <c r="A553" s="9" t="s">
        <v>14</v>
      </c>
      <c r="B553" s="10" t="s">
        <v>645</v>
      </c>
      <c r="C553" s="8">
        <v>1</v>
      </c>
      <c r="D553" s="11" t="s">
        <v>7</v>
      </c>
      <c r="E553" s="14" t="s">
        <v>67</v>
      </c>
      <c r="F553" s="14" t="s">
        <v>67</v>
      </c>
      <c r="V553" s="13"/>
      <c r="W553" s="13"/>
      <c r="X553" s="13"/>
    </row>
    <row r="554" spans="1:25" ht="16" x14ac:dyDescent="0.2">
      <c r="A554" s="9" t="s">
        <v>15</v>
      </c>
      <c r="B554" s="10" t="s">
        <v>71</v>
      </c>
      <c r="C554" s="8">
        <v>1</v>
      </c>
      <c r="D554" s="11" t="s">
        <v>36</v>
      </c>
      <c r="E554" s="14" t="s">
        <v>67</v>
      </c>
      <c r="F554" s="14" t="s">
        <v>67</v>
      </c>
      <c r="V554" s="13"/>
      <c r="W554" s="13"/>
      <c r="X554" s="13"/>
    </row>
    <row r="555" spans="1:25" ht="48" x14ac:dyDescent="0.2">
      <c r="A555" s="9" t="s">
        <v>16</v>
      </c>
      <c r="B555" s="10" t="s">
        <v>72</v>
      </c>
      <c r="C555" s="8">
        <v>1</v>
      </c>
      <c r="D555" s="11" t="s">
        <v>36</v>
      </c>
      <c r="E555" s="14" t="s">
        <v>67</v>
      </c>
      <c r="F555" s="14" t="s">
        <v>67</v>
      </c>
      <c r="V555" s="13"/>
      <c r="W555" s="13"/>
      <c r="X555" s="13"/>
    </row>
    <row r="556" spans="1:25" ht="32" x14ac:dyDescent="0.2">
      <c r="A556" s="9" t="s">
        <v>17</v>
      </c>
      <c r="B556" s="10" t="s">
        <v>73</v>
      </c>
      <c r="C556" s="8">
        <v>1</v>
      </c>
      <c r="D556" s="11" t="s">
        <v>7</v>
      </c>
      <c r="E556" s="14" t="s">
        <v>67</v>
      </c>
      <c r="F556" s="14" t="s">
        <v>67</v>
      </c>
      <c r="V556" s="13"/>
      <c r="W556" s="13"/>
      <c r="X556" s="13"/>
    </row>
    <row r="557" spans="1:25" ht="32" x14ac:dyDescent="0.2">
      <c r="A557" s="9" t="s">
        <v>18</v>
      </c>
      <c r="B557" s="10" t="s">
        <v>74</v>
      </c>
      <c r="C557" s="8">
        <v>1</v>
      </c>
      <c r="D557" s="11" t="s">
        <v>7</v>
      </c>
      <c r="E557" s="14" t="s">
        <v>67</v>
      </c>
      <c r="F557" s="14" t="s">
        <v>67</v>
      </c>
      <c r="V557" s="13"/>
      <c r="W557" s="13"/>
      <c r="X557" s="13"/>
    </row>
    <row r="558" spans="1:25" ht="32" x14ac:dyDescent="0.2">
      <c r="A558" s="9" t="s">
        <v>19</v>
      </c>
      <c r="B558" s="10" t="s">
        <v>75</v>
      </c>
      <c r="C558" s="8">
        <v>54</v>
      </c>
      <c r="D558" s="11" t="s">
        <v>35</v>
      </c>
      <c r="E558" s="12">
        <v>4</v>
      </c>
      <c r="F558" s="12">
        <v>216</v>
      </c>
      <c r="G558" s="8">
        <v>5</v>
      </c>
      <c r="H558" s="8">
        <v>8</v>
      </c>
      <c r="I558" s="8">
        <v>11</v>
      </c>
      <c r="V558" s="13"/>
      <c r="W558" s="13"/>
      <c r="X558" s="13"/>
    </row>
    <row r="559" spans="1:25" ht="32" x14ac:dyDescent="0.2">
      <c r="A559" s="9" t="s">
        <v>6</v>
      </c>
      <c r="B559" s="10" t="s">
        <v>646</v>
      </c>
      <c r="C559" s="8">
        <v>160</v>
      </c>
      <c r="D559" s="11" t="s">
        <v>34</v>
      </c>
      <c r="E559" s="12">
        <v>2.65</v>
      </c>
      <c r="F559" s="12">
        <v>424</v>
      </c>
      <c r="G559" s="8">
        <v>28</v>
      </c>
      <c r="H559" s="8">
        <v>46</v>
      </c>
      <c r="I559" s="8">
        <v>58</v>
      </c>
      <c r="J559" s="55">
        <f>C559*0.3</f>
        <v>48</v>
      </c>
      <c r="N559" s="8">
        <v>0.44</v>
      </c>
      <c r="O559" s="8">
        <v>0.44</v>
      </c>
      <c r="P559" s="8">
        <v>0.44</v>
      </c>
      <c r="R559" s="8">
        <f>N559*J559</f>
        <v>21.12</v>
      </c>
      <c r="S559" s="8">
        <f>O559*J559</f>
        <v>21.12</v>
      </c>
      <c r="T559" s="8">
        <f>P559*J559</f>
        <v>21.12</v>
      </c>
      <c r="V559" s="13">
        <v>10.5</v>
      </c>
      <c r="W559" s="13">
        <v>10.5</v>
      </c>
      <c r="X559" s="13">
        <v>10.5</v>
      </c>
      <c r="Y559" s="8" t="s">
        <v>920</v>
      </c>
    </row>
    <row r="560" spans="1:25" ht="32" x14ac:dyDescent="0.2">
      <c r="A560" s="9" t="s">
        <v>9</v>
      </c>
      <c r="B560" s="10" t="s">
        <v>647</v>
      </c>
      <c r="C560" s="8">
        <v>1</v>
      </c>
      <c r="D560" s="11" t="s">
        <v>7</v>
      </c>
      <c r="E560" s="14" t="s">
        <v>37</v>
      </c>
      <c r="F560" s="14" t="s">
        <v>37</v>
      </c>
      <c r="V560" s="13"/>
      <c r="W560" s="13"/>
      <c r="X560" s="13"/>
    </row>
    <row r="561" spans="1:24" ht="32" x14ac:dyDescent="0.2">
      <c r="A561" s="9" t="s">
        <v>10</v>
      </c>
      <c r="B561" s="10" t="s">
        <v>648</v>
      </c>
      <c r="C561" s="8">
        <v>1</v>
      </c>
      <c r="D561" s="11" t="s">
        <v>7</v>
      </c>
      <c r="E561" s="14" t="s">
        <v>37</v>
      </c>
      <c r="F561" s="14" t="s">
        <v>37</v>
      </c>
      <c r="V561" s="13"/>
      <c r="W561" s="13"/>
      <c r="X561" s="13"/>
    </row>
    <row r="562" spans="1:24" ht="32" x14ac:dyDescent="0.2">
      <c r="A562" s="9" t="s">
        <v>11</v>
      </c>
      <c r="B562" s="10" t="s">
        <v>649</v>
      </c>
      <c r="C562" s="8">
        <v>1</v>
      </c>
      <c r="D562" s="11" t="s">
        <v>7</v>
      </c>
      <c r="E562" s="14" t="s">
        <v>37</v>
      </c>
      <c r="F562" s="14" t="s">
        <v>37</v>
      </c>
      <c r="V562" s="13"/>
      <c r="W562" s="13"/>
      <c r="X562" s="13"/>
    </row>
    <row r="563" spans="1:24" ht="32" x14ac:dyDescent="0.2">
      <c r="A563" s="9" t="s">
        <v>12</v>
      </c>
      <c r="B563" s="10" t="s">
        <v>650</v>
      </c>
      <c r="C563" s="8">
        <v>1</v>
      </c>
      <c r="D563" s="11" t="s">
        <v>7</v>
      </c>
      <c r="E563" s="14" t="s">
        <v>37</v>
      </c>
      <c r="F563" s="14" t="s">
        <v>37</v>
      </c>
      <c r="V563" s="13"/>
      <c r="W563" s="13"/>
      <c r="X563" s="13"/>
    </row>
    <row r="564" spans="1:24" ht="48" x14ac:dyDescent="0.2">
      <c r="A564" s="9" t="s">
        <v>13</v>
      </c>
      <c r="B564" s="10" t="s">
        <v>651</v>
      </c>
      <c r="C564" s="8">
        <v>1</v>
      </c>
      <c r="D564" s="11" t="s">
        <v>7</v>
      </c>
      <c r="E564" s="12">
        <v>10000</v>
      </c>
      <c r="F564" s="12">
        <v>10000</v>
      </c>
      <c r="G564" s="8">
        <v>20</v>
      </c>
      <c r="H564" s="8">
        <v>30</v>
      </c>
      <c r="I564" s="8">
        <v>43</v>
      </c>
      <c r="V564" s="13"/>
      <c r="W564" s="13"/>
      <c r="X564" s="13"/>
    </row>
    <row r="565" spans="1:24" ht="48" x14ac:dyDescent="0.2">
      <c r="A565" s="9" t="s">
        <v>14</v>
      </c>
      <c r="B565" s="10" t="s">
        <v>652</v>
      </c>
      <c r="C565" s="8">
        <v>1</v>
      </c>
      <c r="D565" s="11" t="s">
        <v>7</v>
      </c>
      <c r="E565" s="14" t="s">
        <v>37</v>
      </c>
      <c r="F565" s="14" t="s">
        <v>37</v>
      </c>
      <c r="V565" s="13"/>
      <c r="W565" s="13"/>
      <c r="X565" s="13"/>
    </row>
    <row r="566" spans="1:24" ht="64" x14ac:dyDescent="0.2">
      <c r="A566" s="9" t="s">
        <v>15</v>
      </c>
      <c r="B566" s="10" t="s">
        <v>653</v>
      </c>
      <c r="C566" s="8">
        <v>1</v>
      </c>
      <c r="D566" s="11" t="s">
        <v>7</v>
      </c>
      <c r="E566" s="14" t="s">
        <v>37</v>
      </c>
      <c r="F566" s="14" t="s">
        <v>37</v>
      </c>
      <c r="V566" s="13"/>
      <c r="W566" s="13"/>
      <c r="X566" s="13"/>
    </row>
    <row r="567" spans="1:24" ht="48" x14ac:dyDescent="0.2">
      <c r="A567" s="9" t="s">
        <v>6</v>
      </c>
      <c r="B567" s="10" t="s">
        <v>654</v>
      </c>
      <c r="C567" s="8">
        <v>1</v>
      </c>
      <c r="D567" s="11" t="s">
        <v>7</v>
      </c>
      <c r="E567" s="14" t="s">
        <v>37</v>
      </c>
      <c r="F567" s="14" t="s">
        <v>37</v>
      </c>
      <c r="V567" s="13"/>
      <c r="W567" s="13"/>
      <c r="X567" s="13"/>
    </row>
    <row r="568" spans="1:24" ht="48" x14ac:dyDescent="0.2">
      <c r="A568" s="9" t="s">
        <v>9</v>
      </c>
      <c r="B568" s="10" t="s">
        <v>655</v>
      </c>
      <c r="C568" s="8">
        <v>9</v>
      </c>
      <c r="D568" s="11" t="s">
        <v>36</v>
      </c>
      <c r="E568" s="14" t="s">
        <v>37</v>
      </c>
      <c r="F568" s="14" t="s">
        <v>37</v>
      </c>
      <c r="V568" s="13"/>
      <c r="W568" s="13"/>
      <c r="X568" s="13"/>
    </row>
    <row r="569" spans="1:24" ht="64" x14ac:dyDescent="0.2">
      <c r="A569" s="9" t="s">
        <v>6</v>
      </c>
      <c r="B569" s="10" t="s">
        <v>656</v>
      </c>
      <c r="C569" s="8">
        <v>0</v>
      </c>
      <c r="D569" s="11" t="s">
        <v>33</v>
      </c>
      <c r="E569" s="12">
        <v>0</v>
      </c>
      <c r="F569" s="12">
        <v>0</v>
      </c>
      <c r="V569" s="13"/>
      <c r="W569" s="13"/>
      <c r="X569" s="13"/>
    </row>
    <row r="570" spans="1:24" ht="48" x14ac:dyDescent="0.2">
      <c r="A570" s="9" t="s">
        <v>9</v>
      </c>
      <c r="B570" s="10" t="s">
        <v>658</v>
      </c>
      <c r="C570" s="8">
        <v>0</v>
      </c>
      <c r="D570" s="11" t="s">
        <v>34</v>
      </c>
      <c r="E570" s="12">
        <v>0</v>
      </c>
      <c r="F570" s="12">
        <v>0</v>
      </c>
      <c r="V570" s="13"/>
      <c r="W570" s="13"/>
      <c r="X570" s="13"/>
    </row>
    <row r="571" spans="1:24" ht="48" x14ac:dyDescent="0.2">
      <c r="A571" s="9" t="s">
        <v>10</v>
      </c>
      <c r="B571" s="10" t="s">
        <v>659</v>
      </c>
      <c r="C571" s="8">
        <v>0</v>
      </c>
      <c r="D571" s="11" t="s">
        <v>33</v>
      </c>
      <c r="E571" s="12">
        <v>0</v>
      </c>
      <c r="F571" s="12">
        <v>0</v>
      </c>
      <c r="V571" s="13"/>
      <c r="W571" s="13"/>
      <c r="X571" s="13"/>
    </row>
    <row r="572" spans="1:24" ht="48" x14ac:dyDescent="0.2">
      <c r="A572" s="9" t="s">
        <v>11</v>
      </c>
      <c r="B572" s="10" t="s">
        <v>657</v>
      </c>
      <c r="C572" s="8">
        <v>1</v>
      </c>
      <c r="D572" s="11" t="s">
        <v>7</v>
      </c>
      <c r="E572" s="12">
        <v>0</v>
      </c>
      <c r="F572" s="12">
        <v>0</v>
      </c>
      <c r="V572" s="13"/>
      <c r="W572" s="13"/>
      <c r="X572" s="13"/>
    </row>
    <row r="573" spans="1:24" ht="48" x14ac:dyDescent="0.2">
      <c r="A573" s="9" t="s">
        <v>12</v>
      </c>
      <c r="B573" s="10" t="s">
        <v>660</v>
      </c>
      <c r="C573" s="8">
        <v>0</v>
      </c>
      <c r="D573" s="11" t="s">
        <v>33</v>
      </c>
      <c r="E573" s="12">
        <v>0</v>
      </c>
      <c r="F573" s="12">
        <v>0</v>
      </c>
      <c r="V573" s="13"/>
      <c r="W573" s="13"/>
      <c r="X573" s="13"/>
    </row>
    <row r="574" spans="1:24" ht="48" x14ac:dyDescent="0.2">
      <c r="A574" s="9" t="s">
        <v>13</v>
      </c>
      <c r="B574" s="10" t="s">
        <v>661</v>
      </c>
      <c r="C574" s="8">
        <v>0</v>
      </c>
      <c r="D574" s="11" t="s">
        <v>33</v>
      </c>
      <c r="E574" s="12">
        <v>0</v>
      </c>
      <c r="F574" s="12">
        <v>0</v>
      </c>
      <c r="V574" s="13"/>
      <c r="W574" s="13"/>
      <c r="X574" s="13"/>
    </row>
    <row r="575" spans="1:24" ht="64" x14ac:dyDescent="0.2">
      <c r="A575" s="9" t="s">
        <v>14</v>
      </c>
      <c r="B575" s="10" t="s">
        <v>662</v>
      </c>
      <c r="C575" s="8">
        <v>0</v>
      </c>
      <c r="D575" s="11" t="s">
        <v>33</v>
      </c>
      <c r="E575" s="12">
        <v>0</v>
      </c>
      <c r="F575" s="12">
        <v>0</v>
      </c>
      <c r="V575" s="13"/>
      <c r="W575" s="13"/>
      <c r="X575" s="13"/>
    </row>
    <row r="576" spans="1:24" ht="64" x14ac:dyDescent="0.2">
      <c r="A576" s="9" t="s">
        <v>15</v>
      </c>
      <c r="B576" s="10" t="s">
        <v>663</v>
      </c>
      <c r="C576" s="8">
        <v>0</v>
      </c>
      <c r="D576" s="11" t="s">
        <v>33</v>
      </c>
      <c r="E576" s="12">
        <v>0</v>
      </c>
      <c r="F576" s="12">
        <v>0</v>
      </c>
      <c r="V576" s="13"/>
      <c r="W576" s="13"/>
      <c r="X576" s="13"/>
    </row>
    <row r="577" spans="1:24" ht="64" x14ac:dyDescent="0.2">
      <c r="A577" s="9" t="s">
        <v>16</v>
      </c>
      <c r="B577" s="10" t="s">
        <v>664</v>
      </c>
      <c r="C577" s="8">
        <v>0</v>
      </c>
      <c r="D577" s="11" t="s">
        <v>33</v>
      </c>
      <c r="E577" s="12">
        <v>0</v>
      </c>
      <c r="F577" s="12">
        <v>0</v>
      </c>
      <c r="V577" s="13"/>
      <c r="W577" s="13"/>
      <c r="X577" s="13"/>
    </row>
    <row r="578" spans="1:24" ht="48" x14ac:dyDescent="0.2">
      <c r="A578" s="9" t="s">
        <v>17</v>
      </c>
      <c r="B578" s="10" t="s">
        <v>665</v>
      </c>
      <c r="C578" s="8">
        <v>1</v>
      </c>
      <c r="D578" s="11" t="s">
        <v>7</v>
      </c>
      <c r="E578" s="12">
        <v>199.84</v>
      </c>
      <c r="F578" s="12">
        <v>199.84</v>
      </c>
      <c r="G578" s="8">
        <v>1</v>
      </c>
      <c r="H578" s="8">
        <v>1</v>
      </c>
      <c r="I578" s="8">
        <v>1</v>
      </c>
      <c r="V578" s="13"/>
      <c r="W578" s="13"/>
      <c r="X578" s="13"/>
    </row>
    <row r="579" spans="1:24" ht="80" x14ac:dyDescent="0.2">
      <c r="A579" s="9" t="s">
        <v>18</v>
      </c>
      <c r="B579" s="10" t="s">
        <v>666</v>
      </c>
      <c r="C579" s="8">
        <v>0</v>
      </c>
      <c r="D579" s="11" t="s">
        <v>33</v>
      </c>
      <c r="E579" s="12">
        <v>0</v>
      </c>
      <c r="F579" s="12">
        <v>0</v>
      </c>
      <c r="V579" s="13"/>
      <c r="W579" s="13"/>
      <c r="X579" s="13"/>
    </row>
    <row r="580" spans="1:24" ht="80" x14ac:dyDescent="0.2">
      <c r="A580" s="9" t="s">
        <v>19</v>
      </c>
      <c r="B580" s="10" t="s">
        <v>667</v>
      </c>
      <c r="C580" s="8">
        <v>0</v>
      </c>
      <c r="D580" s="11" t="s">
        <v>33</v>
      </c>
      <c r="E580" s="12">
        <v>0</v>
      </c>
      <c r="F580" s="12">
        <v>0</v>
      </c>
      <c r="V580" s="13"/>
      <c r="W580" s="13"/>
      <c r="X580" s="13"/>
    </row>
    <row r="581" spans="1:24" ht="32" x14ac:dyDescent="0.2">
      <c r="A581" s="9" t="s">
        <v>6</v>
      </c>
      <c r="B581" s="10" t="s">
        <v>668</v>
      </c>
      <c r="C581" s="8">
        <v>119</v>
      </c>
      <c r="D581" s="11" t="s">
        <v>33</v>
      </c>
      <c r="E581" s="12">
        <v>12.96</v>
      </c>
      <c r="F581" s="12">
        <v>1542.24</v>
      </c>
      <c r="G581" s="8">
        <v>500</v>
      </c>
      <c r="H581" s="8">
        <v>750</v>
      </c>
      <c r="I581" s="8">
        <v>1000</v>
      </c>
      <c r="K581" s="13">
        <v>2050</v>
      </c>
      <c r="L581" s="13" t="s">
        <v>108</v>
      </c>
      <c r="N581" s="8">
        <v>2.4E-2</v>
      </c>
      <c r="O581" s="8">
        <v>2.4E-2</v>
      </c>
      <c r="P581" s="8">
        <v>2.4E-2</v>
      </c>
      <c r="R581" s="8">
        <f>N581*K581*C581</f>
        <v>5854.8</v>
      </c>
      <c r="S581" s="8">
        <f>O581*K581*C581</f>
        <v>5854.8</v>
      </c>
      <c r="T581" s="8">
        <f>P581*K581*C581</f>
        <v>5854.8</v>
      </c>
      <c r="V581" s="13">
        <v>0.15</v>
      </c>
      <c r="W581" s="13">
        <v>0.45</v>
      </c>
      <c r="X581" s="13">
        <v>0.73</v>
      </c>
    </row>
    <row r="582" spans="1:24" ht="32" x14ac:dyDescent="0.2">
      <c r="A582" s="9" t="s">
        <v>9</v>
      </c>
      <c r="B582" s="10" t="s">
        <v>669</v>
      </c>
      <c r="C582" s="8">
        <v>12</v>
      </c>
      <c r="D582" s="11" t="s">
        <v>33</v>
      </c>
      <c r="E582" s="12">
        <v>16.2</v>
      </c>
      <c r="F582" s="12">
        <v>194.4</v>
      </c>
      <c r="G582" s="8">
        <v>500</v>
      </c>
      <c r="H582" s="8">
        <v>750</v>
      </c>
      <c r="I582" s="8">
        <v>1000</v>
      </c>
      <c r="K582" s="13">
        <v>2050</v>
      </c>
      <c r="L582" s="13" t="s">
        <v>108</v>
      </c>
      <c r="N582" s="8">
        <v>2.4E-2</v>
      </c>
      <c r="O582" s="8">
        <v>2.4E-2</v>
      </c>
      <c r="P582" s="8">
        <v>2.4E-2</v>
      </c>
      <c r="R582" s="8">
        <f t="shared" ref="R582:R589" si="177">N582*K582*C582</f>
        <v>590.40000000000009</v>
      </c>
      <c r="S582" s="8">
        <f t="shared" ref="S582:S589" si="178">O582*K582*C582</f>
        <v>590.40000000000009</v>
      </c>
      <c r="T582" s="8">
        <f t="shared" ref="T582:T589" si="179">P582*K582*C582</f>
        <v>590.40000000000009</v>
      </c>
      <c r="V582" s="13">
        <v>0.15</v>
      </c>
      <c r="W582" s="13">
        <v>0.45</v>
      </c>
      <c r="X582" s="13">
        <v>0.73</v>
      </c>
    </row>
    <row r="583" spans="1:24" ht="16" x14ac:dyDescent="0.2">
      <c r="A583" s="9" t="s">
        <v>10</v>
      </c>
      <c r="B583" s="10" t="s">
        <v>670</v>
      </c>
      <c r="C583" s="8">
        <v>48</v>
      </c>
      <c r="D583" s="11" t="s">
        <v>35</v>
      </c>
      <c r="E583" s="12">
        <v>6.48</v>
      </c>
      <c r="F583" s="12">
        <v>311.04000000000002</v>
      </c>
      <c r="G583" s="8">
        <v>500</v>
      </c>
      <c r="H583" s="8">
        <v>750</v>
      </c>
      <c r="I583" s="8">
        <v>1000</v>
      </c>
      <c r="K583" s="13">
        <v>2240</v>
      </c>
      <c r="L583" s="13" t="s">
        <v>115</v>
      </c>
      <c r="N583" s="13">
        <v>5.1000000000000004E-3</v>
      </c>
      <c r="O583" s="13">
        <v>5.1000000000000004E-3</v>
      </c>
      <c r="P583" s="13">
        <v>5.1000000000000004E-3</v>
      </c>
      <c r="R583" s="8">
        <f t="shared" si="177"/>
        <v>548.35200000000009</v>
      </c>
      <c r="S583" s="8">
        <f t="shared" si="178"/>
        <v>548.35200000000009</v>
      </c>
      <c r="T583" s="8">
        <f t="shared" si="179"/>
        <v>548.35200000000009</v>
      </c>
      <c r="V583" s="13">
        <v>0.05</v>
      </c>
      <c r="W583" s="13">
        <v>8.1000000000000003E-2</v>
      </c>
      <c r="X583" s="13">
        <v>0.15</v>
      </c>
    </row>
    <row r="584" spans="1:24" ht="16" x14ac:dyDescent="0.2">
      <c r="A584" s="9" t="s">
        <v>11</v>
      </c>
      <c r="B584" s="10" t="s">
        <v>671</v>
      </c>
      <c r="C584" s="8">
        <v>226</v>
      </c>
      <c r="D584" s="11" t="s">
        <v>35</v>
      </c>
      <c r="E584" s="12">
        <v>3.24</v>
      </c>
      <c r="F584" s="12">
        <v>732.24</v>
      </c>
      <c r="G584" s="8">
        <v>500</v>
      </c>
      <c r="H584" s="8">
        <v>750</v>
      </c>
      <c r="I584" s="8">
        <v>1000</v>
      </c>
      <c r="K584" s="13">
        <v>2240</v>
      </c>
      <c r="L584" s="13" t="s">
        <v>115</v>
      </c>
      <c r="N584" s="13">
        <v>5.1000000000000004E-3</v>
      </c>
      <c r="O584" s="13">
        <v>5.1000000000000004E-3</v>
      </c>
      <c r="P584" s="13">
        <v>5.1000000000000004E-3</v>
      </c>
      <c r="R584" s="8">
        <f t="shared" si="177"/>
        <v>2581.8240000000001</v>
      </c>
      <c r="S584" s="8">
        <f t="shared" si="178"/>
        <v>2581.8240000000001</v>
      </c>
      <c r="T584" s="8">
        <f t="shared" si="179"/>
        <v>2581.8240000000001</v>
      </c>
      <c r="V584" s="13">
        <v>0.05</v>
      </c>
      <c r="W584" s="13">
        <v>8.1000000000000003E-2</v>
      </c>
      <c r="X584" s="13">
        <v>0.15</v>
      </c>
    </row>
    <row r="585" spans="1:24" ht="48" x14ac:dyDescent="0.2">
      <c r="A585" s="9" t="s">
        <v>12</v>
      </c>
      <c r="B585" s="10" t="s">
        <v>672</v>
      </c>
      <c r="C585" s="8">
        <v>274</v>
      </c>
      <c r="D585" s="11" t="s">
        <v>35</v>
      </c>
      <c r="E585" s="12">
        <v>3.24</v>
      </c>
      <c r="F585" s="12">
        <v>887.76</v>
      </c>
      <c r="G585" s="8">
        <v>500</v>
      </c>
      <c r="H585" s="8">
        <v>750</v>
      </c>
      <c r="I585" s="8">
        <v>1000</v>
      </c>
      <c r="K585" s="13">
        <v>2240</v>
      </c>
      <c r="L585" s="13" t="s">
        <v>115</v>
      </c>
      <c r="N585" s="13">
        <v>5.1000000000000004E-3</v>
      </c>
      <c r="O585" s="13">
        <v>5.1000000000000004E-3</v>
      </c>
      <c r="P585" s="13">
        <v>5.1000000000000004E-3</v>
      </c>
      <c r="R585" s="8">
        <f t="shared" si="177"/>
        <v>3130.1760000000004</v>
      </c>
      <c r="S585" s="8">
        <f t="shared" si="178"/>
        <v>3130.1760000000004</v>
      </c>
      <c r="T585" s="8">
        <f t="shared" si="179"/>
        <v>3130.1760000000004</v>
      </c>
      <c r="V585" s="13">
        <v>0.05</v>
      </c>
      <c r="W585" s="13">
        <v>8.1000000000000003E-2</v>
      </c>
      <c r="X585" s="13">
        <v>0.15</v>
      </c>
    </row>
    <row r="586" spans="1:24" ht="48" x14ac:dyDescent="0.2">
      <c r="A586" s="9" t="s">
        <v>13</v>
      </c>
      <c r="B586" s="10" t="s">
        <v>673</v>
      </c>
      <c r="C586" s="8">
        <v>131</v>
      </c>
      <c r="D586" s="11" t="s">
        <v>33</v>
      </c>
      <c r="E586" s="12">
        <v>35.65</v>
      </c>
      <c r="F586" s="12">
        <v>4670.1499999999996</v>
      </c>
      <c r="G586" s="8">
        <v>1</v>
      </c>
      <c r="H586" s="8">
        <v>1</v>
      </c>
      <c r="I586" s="8">
        <v>1</v>
      </c>
      <c r="K586" s="13">
        <v>2050</v>
      </c>
      <c r="L586" s="13" t="s">
        <v>108</v>
      </c>
      <c r="N586" s="8">
        <v>2.4E-2</v>
      </c>
      <c r="O586" s="8">
        <v>2.4E-2</v>
      </c>
      <c r="P586" s="8">
        <v>2.4E-2</v>
      </c>
      <c r="R586" s="8">
        <f t="shared" si="177"/>
        <v>6445.2000000000007</v>
      </c>
      <c r="S586" s="8">
        <f t="shared" si="178"/>
        <v>6445.2000000000007</v>
      </c>
      <c r="T586" s="8">
        <f t="shared" si="179"/>
        <v>6445.2000000000007</v>
      </c>
      <c r="V586" s="13">
        <v>0.15</v>
      </c>
      <c r="W586" s="13">
        <v>0.45</v>
      </c>
      <c r="X586" s="13">
        <v>0.73</v>
      </c>
    </row>
    <row r="587" spans="1:24" ht="16" x14ac:dyDescent="0.2">
      <c r="A587" s="9" t="s">
        <v>14</v>
      </c>
      <c r="B587" s="10" t="s">
        <v>674</v>
      </c>
      <c r="C587" s="8">
        <v>12</v>
      </c>
      <c r="D587" s="11" t="s">
        <v>33</v>
      </c>
      <c r="E587" s="12">
        <v>36.729999999999997</v>
      </c>
      <c r="F587" s="12">
        <v>440.76</v>
      </c>
      <c r="G587" s="8">
        <v>100</v>
      </c>
      <c r="H587" s="8">
        <v>300</v>
      </c>
      <c r="I587" s="8">
        <v>500</v>
      </c>
      <c r="K587" s="13">
        <v>2050</v>
      </c>
      <c r="L587" s="13" t="s">
        <v>108</v>
      </c>
      <c r="N587" s="8">
        <v>2.4E-2</v>
      </c>
      <c r="O587" s="8">
        <v>2.4E-2</v>
      </c>
      <c r="P587" s="8">
        <v>2.4E-2</v>
      </c>
      <c r="R587" s="8">
        <f t="shared" si="177"/>
        <v>590.40000000000009</v>
      </c>
      <c r="S587" s="8">
        <f t="shared" si="178"/>
        <v>590.40000000000009</v>
      </c>
      <c r="T587" s="8">
        <f t="shared" si="179"/>
        <v>590.40000000000009</v>
      </c>
      <c r="V587" s="13">
        <v>0.15</v>
      </c>
      <c r="W587" s="13">
        <v>0.45</v>
      </c>
      <c r="X587" s="13">
        <v>0.73</v>
      </c>
    </row>
    <row r="588" spans="1:24" ht="32" x14ac:dyDescent="0.2">
      <c r="A588" s="9" t="s">
        <v>15</v>
      </c>
      <c r="B588" s="10" t="s">
        <v>675</v>
      </c>
      <c r="C588" s="8">
        <v>78</v>
      </c>
      <c r="D588" s="11" t="s">
        <v>33</v>
      </c>
      <c r="E588" s="12">
        <v>36.729999999999997</v>
      </c>
      <c r="F588" s="12">
        <v>2864.94</v>
      </c>
      <c r="G588" s="8">
        <v>100</v>
      </c>
      <c r="H588" s="8">
        <v>300</v>
      </c>
      <c r="I588" s="8">
        <v>500</v>
      </c>
      <c r="K588" s="13">
        <v>2050</v>
      </c>
      <c r="L588" s="13" t="s">
        <v>108</v>
      </c>
      <c r="N588" s="8">
        <v>2.4E-2</v>
      </c>
      <c r="O588" s="8">
        <v>2.4E-2</v>
      </c>
      <c r="P588" s="8">
        <v>2.4E-2</v>
      </c>
      <c r="R588" s="8">
        <f t="shared" si="177"/>
        <v>3837.6000000000004</v>
      </c>
      <c r="S588" s="8">
        <f t="shared" si="178"/>
        <v>3837.6000000000004</v>
      </c>
      <c r="T588" s="8">
        <f t="shared" si="179"/>
        <v>3837.6000000000004</v>
      </c>
      <c r="V588" s="13">
        <v>0.15</v>
      </c>
      <c r="W588" s="13">
        <v>0.45</v>
      </c>
      <c r="X588" s="13">
        <v>0.73</v>
      </c>
    </row>
    <row r="589" spans="1:24" ht="16" x14ac:dyDescent="0.2">
      <c r="A589" s="9" t="s">
        <v>16</v>
      </c>
      <c r="B589" s="10" t="s">
        <v>676</v>
      </c>
      <c r="C589" s="8">
        <v>71</v>
      </c>
      <c r="D589" s="11" t="s">
        <v>33</v>
      </c>
      <c r="E589" s="12">
        <v>36.729999999999997</v>
      </c>
      <c r="F589" s="12">
        <v>2607.83</v>
      </c>
      <c r="G589" s="8">
        <v>100</v>
      </c>
      <c r="H589" s="8">
        <v>300</v>
      </c>
      <c r="I589" s="8">
        <v>500</v>
      </c>
      <c r="K589" s="13">
        <v>2050</v>
      </c>
      <c r="L589" s="13" t="s">
        <v>108</v>
      </c>
      <c r="N589" s="8">
        <v>2.4E-2</v>
      </c>
      <c r="O589" s="8">
        <v>2.4E-2</v>
      </c>
      <c r="P589" s="8">
        <v>2.4E-2</v>
      </c>
      <c r="R589" s="8">
        <f t="shared" si="177"/>
        <v>3493.2000000000003</v>
      </c>
      <c r="S589" s="8">
        <f t="shared" si="178"/>
        <v>3493.2000000000003</v>
      </c>
      <c r="T589" s="8">
        <f t="shared" si="179"/>
        <v>3493.2000000000003</v>
      </c>
      <c r="V589" s="13">
        <v>0.15</v>
      </c>
      <c r="W589" s="13">
        <v>0.45</v>
      </c>
      <c r="X589" s="13">
        <v>0.73</v>
      </c>
    </row>
    <row r="590" spans="1:24" ht="16" x14ac:dyDescent="0.2">
      <c r="A590" s="9" t="s">
        <v>17</v>
      </c>
      <c r="B590" s="10" t="s">
        <v>677</v>
      </c>
      <c r="C590" s="8">
        <v>12</v>
      </c>
      <c r="D590" s="11" t="s">
        <v>35</v>
      </c>
      <c r="E590" s="12">
        <v>0.76</v>
      </c>
      <c r="F590" s="12">
        <v>9.1199999999999992</v>
      </c>
      <c r="G590" s="8">
        <v>500</v>
      </c>
      <c r="H590" s="8">
        <v>750</v>
      </c>
      <c r="I590" s="8">
        <v>1000</v>
      </c>
      <c r="V590" s="13"/>
      <c r="W590" s="13"/>
      <c r="X590" s="13"/>
    </row>
    <row r="591" spans="1:24" ht="16" x14ac:dyDescent="0.2">
      <c r="A591" s="9" t="s">
        <v>18</v>
      </c>
      <c r="B591" s="10" t="s">
        <v>678</v>
      </c>
      <c r="C591" s="8">
        <v>148</v>
      </c>
      <c r="D591" s="11" t="s">
        <v>35</v>
      </c>
      <c r="E591" s="12">
        <v>0.76</v>
      </c>
      <c r="F591" s="12">
        <v>112.48</v>
      </c>
      <c r="G591" s="8">
        <v>500</v>
      </c>
      <c r="H591" s="8">
        <v>750</v>
      </c>
      <c r="I591" s="8">
        <v>1000</v>
      </c>
      <c r="V591" s="13"/>
      <c r="W591" s="13"/>
      <c r="X591" s="13"/>
    </row>
    <row r="592" spans="1:24" ht="16" x14ac:dyDescent="0.2">
      <c r="A592" s="9" t="s">
        <v>19</v>
      </c>
      <c r="B592" s="10" t="s">
        <v>679</v>
      </c>
      <c r="C592" s="8">
        <v>7</v>
      </c>
      <c r="D592" s="11" t="s">
        <v>33</v>
      </c>
      <c r="E592" s="12">
        <v>149.07</v>
      </c>
      <c r="F592" s="12">
        <v>1043.49</v>
      </c>
      <c r="G592" s="8">
        <v>100</v>
      </c>
      <c r="H592" s="8">
        <v>150</v>
      </c>
      <c r="I592" s="8">
        <v>200</v>
      </c>
      <c r="K592" s="8">
        <v>2100</v>
      </c>
      <c r="L592" s="13" t="s">
        <v>933</v>
      </c>
      <c r="N592" s="8">
        <v>221.76</v>
      </c>
      <c r="O592" s="8">
        <v>221.76</v>
      </c>
      <c r="P592" s="8">
        <v>221.76</v>
      </c>
      <c r="Q592" s="8" t="s">
        <v>934</v>
      </c>
      <c r="R592" s="8">
        <f>N592*C592</f>
        <v>1552.32</v>
      </c>
      <c r="S592" s="8">
        <f>O592*C592</f>
        <v>1552.32</v>
      </c>
      <c r="T592" s="8">
        <f>P592*C592</f>
        <v>1552.32</v>
      </c>
      <c r="V592" s="13">
        <v>3.157</v>
      </c>
      <c r="W592" s="13">
        <v>4.51</v>
      </c>
      <c r="X592" s="13">
        <v>5.8630000000000004</v>
      </c>
    </row>
    <row r="593" spans="1:24" ht="16" x14ac:dyDescent="0.2">
      <c r="A593" s="9" t="s">
        <v>6</v>
      </c>
      <c r="B593" s="10" t="s">
        <v>680</v>
      </c>
      <c r="C593" s="8">
        <v>61</v>
      </c>
      <c r="D593" s="11" t="s">
        <v>33</v>
      </c>
      <c r="E593" s="12">
        <v>182.56</v>
      </c>
      <c r="F593" s="12">
        <v>11136.16</v>
      </c>
      <c r="G593" s="8">
        <v>64</v>
      </c>
      <c r="H593" s="8">
        <v>108</v>
      </c>
      <c r="I593" s="8">
        <v>178</v>
      </c>
      <c r="K593" s="8">
        <v>2300</v>
      </c>
      <c r="N593" s="8">
        <f>O593*0.7</f>
        <v>7.4899999999999994E-2</v>
      </c>
      <c r="O593" s="8">
        <v>0.107</v>
      </c>
      <c r="P593" s="8">
        <f>O593*1.3</f>
        <v>0.1391</v>
      </c>
      <c r="R593" s="8">
        <f>N593*C593*K593</f>
        <v>10508.469999999998</v>
      </c>
      <c r="S593" s="8">
        <f>O593*K593*C593</f>
        <v>15012.1</v>
      </c>
      <c r="T593" s="8">
        <f>P593*K593*C593</f>
        <v>19515.73</v>
      </c>
      <c r="V593" s="13">
        <v>0.52500000000000002</v>
      </c>
      <c r="W593" s="13">
        <v>0.75</v>
      </c>
      <c r="X593" s="13">
        <v>0.97499999999999998</v>
      </c>
    </row>
    <row r="594" spans="1:24" ht="32" x14ac:dyDescent="0.2">
      <c r="A594" s="9" t="s">
        <v>9</v>
      </c>
      <c r="B594" s="10" t="s">
        <v>681</v>
      </c>
      <c r="C594" s="8">
        <v>202</v>
      </c>
      <c r="D594" s="11" t="s">
        <v>34</v>
      </c>
      <c r="E594" s="12">
        <v>23.77</v>
      </c>
      <c r="F594" s="12">
        <v>4801.54</v>
      </c>
      <c r="G594" s="8">
        <v>47</v>
      </c>
      <c r="H594" s="8">
        <v>70</v>
      </c>
      <c r="I594" s="8">
        <v>110</v>
      </c>
      <c r="J594" s="55">
        <f>C594*0.375*0.05</f>
        <v>3.7875000000000001</v>
      </c>
      <c r="K594" s="8">
        <v>480</v>
      </c>
      <c r="L594" s="8" t="s">
        <v>131</v>
      </c>
      <c r="N594" s="8">
        <v>8.0340000000000007</v>
      </c>
      <c r="O594" s="8">
        <v>8.0340000000000007</v>
      </c>
      <c r="P594" s="8">
        <v>8.0340000000000007</v>
      </c>
      <c r="Q594" s="8" t="s">
        <v>935</v>
      </c>
      <c r="R594" s="8">
        <f>N594*C594*0.375</f>
        <v>608.57550000000003</v>
      </c>
      <c r="S594" s="8">
        <f>O594*C594*0.375</f>
        <v>608.57550000000003</v>
      </c>
      <c r="T594" s="8">
        <f>P594*C594*0.375</f>
        <v>608.57550000000003</v>
      </c>
      <c r="V594" s="13">
        <v>0.72</v>
      </c>
      <c r="W594" s="13">
        <v>7.11</v>
      </c>
      <c r="X594" s="13">
        <v>21.3</v>
      </c>
    </row>
    <row r="595" spans="1:24" ht="32" x14ac:dyDescent="0.2">
      <c r="A595" s="9" t="s">
        <v>10</v>
      </c>
      <c r="B595" s="10" t="s">
        <v>682</v>
      </c>
      <c r="C595" s="8">
        <v>54</v>
      </c>
      <c r="D595" s="11" t="s">
        <v>34</v>
      </c>
      <c r="E595" s="12">
        <v>25.93</v>
      </c>
      <c r="F595" s="12">
        <v>1400.22</v>
      </c>
      <c r="G595" s="8">
        <v>47</v>
      </c>
      <c r="H595" s="8">
        <v>70</v>
      </c>
      <c r="I595" s="8">
        <v>110</v>
      </c>
      <c r="J595" s="55">
        <f>C595*0.375*0.1</f>
        <v>2.0249999999999999</v>
      </c>
      <c r="K595" s="8">
        <v>480</v>
      </c>
      <c r="L595" s="8" t="s">
        <v>130</v>
      </c>
      <c r="N595" s="8">
        <v>8.0340000000000007</v>
      </c>
      <c r="O595" s="8">
        <v>8.0340000000000007</v>
      </c>
      <c r="P595" s="8">
        <v>8.0340000000000007</v>
      </c>
      <c r="Q595" s="8" t="s">
        <v>935</v>
      </c>
      <c r="R595" s="8">
        <f>N595*C595*0.375</f>
        <v>162.6885</v>
      </c>
      <c r="S595" s="8">
        <f>O595*C595*0.375</f>
        <v>162.6885</v>
      </c>
      <c r="T595" s="8">
        <f>P595*C595*0.375</f>
        <v>162.6885</v>
      </c>
      <c r="V595" s="13">
        <v>0.72</v>
      </c>
      <c r="W595" s="13">
        <v>7.11</v>
      </c>
      <c r="X595" s="13">
        <v>21.3</v>
      </c>
    </row>
    <row r="596" spans="1:24" ht="16" x14ac:dyDescent="0.2">
      <c r="A596" s="9" t="s">
        <v>11</v>
      </c>
      <c r="B596" s="10" t="s">
        <v>683</v>
      </c>
      <c r="C596" s="8">
        <v>136</v>
      </c>
      <c r="D596" s="11" t="s">
        <v>35</v>
      </c>
      <c r="E596" s="12">
        <v>14.04</v>
      </c>
      <c r="F596" s="12">
        <v>1909.44</v>
      </c>
      <c r="G596" s="8">
        <v>46</v>
      </c>
      <c r="H596" s="8">
        <v>70</v>
      </c>
      <c r="I596" s="8">
        <v>108</v>
      </c>
      <c r="N596" s="8">
        <v>10.244999999999999</v>
      </c>
      <c r="O596" s="8">
        <v>10.244999999999999</v>
      </c>
      <c r="P596" s="8">
        <v>10.244999999999999</v>
      </c>
      <c r="Q596" s="8" t="s">
        <v>935</v>
      </c>
      <c r="R596" s="8">
        <f>N596*C596</f>
        <v>1393.32</v>
      </c>
      <c r="S596" s="8">
        <f>O596*C596</f>
        <v>1393.32</v>
      </c>
      <c r="T596" s="8">
        <f>P596*C596</f>
        <v>1393.32</v>
      </c>
      <c r="V596" s="13"/>
      <c r="W596" s="13"/>
      <c r="X596" s="13"/>
    </row>
    <row r="597" spans="1:24" ht="32" x14ac:dyDescent="0.2">
      <c r="A597" s="9" t="s">
        <v>12</v>
      </c>
      <c r="B597" s="10" t="s">
        <v>684</v>
      </c>
      <c r="C597" s="8">
        <v>20</v>
      </c>
      <c r="D597" s="11" t="s">
        <v>35</v>
      </c>
      <c r="E597" s="12">
        <v>45.58</v>
      </c>
      <c r="F597" s="12">
        <v>911.6</v>
      </c>
      <c r="G597" s="8">
        <v>52</v>
      </c>
      <c r="H597" s="8">
        <v>72</v>
      </c>
      <c r="I597" s="8">
        <v>101</v>
      </c>
      <c r="J597" s="55">
        <f>C597*0.215</f>
        <v>4.3</v>
      </c>
      <c r="K597" s="13">
        <v>2200</v>
      </c>
      <c r="L597" s="13" t="s">
        <v>134</v>
      </c>
      <c r="N597" s="8">
        <f>O597*0.7</f>
        <v>7.4899999999999994E-2</v>
      </c>
      <c r="O597" s="8">
        <v>0.107</v>
      </c>
      <c r="P597" s="8">
        <f>O597*1.3</f>
        <v>0.1391</v>
      </c>
      <c r="R597" s="8">
        <f>N597*K597*J597</f>
        <v>708.55399999999997</v>
      </c>
      <c r="S597" s="8">
        <f>O597*K597*J597</f>
        <v>1012.22</v>
      </c>
      <c r="T597" s="8">
        <f>P597*K597*J597</f>
        <v>1315.886</v>
      </c>
      <c r="V597" s="13">
        <v>0.52500000000000002</v>
      </c>
      <c r="W597" s="13">
        <v>0.75</v>
      </c>
      <c r="X597" s="13">
        <v>0.97499999999999998</v>
      </c>
    </row>
    <row r="598" spans="1:24" ht="16" x14ac:dyDescent="0.2">
      <c r="A598" s="9" t="s">
        <v>13</v>
      </c>
      <c r="B598" s="10" t="s">
        <v>685</v>
      </c>
      <c r="C598" s="8">
        <v>173</v>
      </c>
      <c r="D598" s="11" t="s">
        <v>35</v>
      </c>
      <c r="E598" s="12">
        <v>385.04</v>
      </c>
      <c r="F598" s="12">
        <v>66611.92</v>
      </c>
      <c r="G598" s="8">
        <v>43</v>
      </c>
      <c r="H598" s="8">
        <v>60</v>
      </c>
      <c r="I598" s="8">
        <v>79</v>
      </c>
      <c r="J598" s="55">
        <f>C598*0.35</f>
        <v>60.55</v>
      </c>
      <c r="K598" s="13">
        <v>1900</v>
      </c>
      <c r="L598" s="13"/>
      <c r="V598" s="13">
        <v>0.7</v>
      </c>
      <c r="W598" s="13">
        <v>0.85</v>
      </c>
      <c r="X598" s="13">
        <v>1.01</v>
      </c>
    </row>
    <row r="599" spans="1:24" ht="16" x14ac:dyDescent="0.2">
      <c r="A599" s="9" t="s">
        <v>14</v>
      </c>
      <c r="B599" s="10" t="s">
        <v>686</v>
      </c>
      <c r="C599" s="8">
        <v>89</v>
      </c>
      <c r="D599" s="11" t="s">
        <v>34</v>
      </c>
      <c r="E599" s="12">
        <v>98.04</v>
      </c>
      <c r="F599" s="12">
        <v>8725.56</v>
      </c>
      <c r="G599" s="8">
        <v>43</v>
      </c>
      <c r="H599" s="8">
        <v>60</v>
      </c>
      <c r="I599" s="8">
        <v>79</v>
      </c>
      <c r="J599" s="55">
        <f>C599*0.175*0.04</f>
        <v>0.623</v>
      </c>
      <c r="K599" s="13">
        <v>1900</v>
      </c>
      <c r="L599" s="13"/>
      <c r="V599" s="13">
        <v>0.7</v>
      </c>
      <c r="W599" s="13">
        <v>0.85</v>
      </c>
      <c r="X599" s="13">
        <v>1.01</v>
      </c>
    </row>
    <row r="600" spans="1:24" ht="16" x14ac:dyDescent="0.2">
      <c r="A600" s="9" t="s">
        <v>15</v>
      </c>
      <c r="B600" s="10" t="s">
        <v>687</v>
      </c>
      <c r="C600" s="8">
        <v>27</v>
      </c>
      <c r="D600" s="11" t="s">
        <v>34</v>
      </c>
      <c r="E600" s="12">
        <v>108.04</v>
      </c>
      <c r="F600" s="12">
        <v>2917.08</v>
      </c>
      <c r="G600" s="8">
        <v>43</v>
      </c>
      <c r="H600" s="8">
        <v>60</v>
      </c>
      <c r="I600" s="8">
        <v>79</v>
      </c>
      <c r="J600" s="55">
        <f>C600*0.175*0.04</f>
        <v>0.189</v>
      </c>
      <c r="K600" s="13">
        <v>1900</v>
      </c>
      <c r="L600" s="13"/>
      <c r="V600" s="13">
        <v>0.7</v>
      </c>
      <c r="W600" s="13">
        <v>0.85</v>
      </c>
      <c r="X600" s="13">
        <v>1.01</v>
      </c>
    </row>
    <row r="601" spans="1:24" ht="48" x14ac:dyDescent="0.2">
      <c r="A601" s="9" t="s">
        <v>16</v>
      </c>
      <c r="B601" s="10" t="s">
        <v>688</v>
      </c>
      <c r="C601" s="8">
        <v>6</v>
      </c>
      <c r="D601" s="11" t="s">
        <v>34</v>
      </c>
      <c r="E601" s="12">
        <v>176.24</v>
      </c>
      <c r="F601" s="12">
        <v>1057.44</v>
      </c>
      <c r="G601" s="8">
        <v>15</v>
      </c>
      <c r="H601" s="8">
        <v>20</v>
      </c>
      <c r="I601" s="8">
        <v>25</v>
      </c>
      <c r="V601" s="13"/>
      <c r="W601" s="13"/>
      <c r="X601" s="13"/>
    </row>
    <row r="602" spans="1:24" ht="16" x14ac:dyDescent="0.2">
      <c r="A602" s="9" t="s">
        <v>17</v>
      </c>
      <c r="B602" s="10" t="s">
        <v>689</v>
      </c>
      <c r="C602" s="8">
        <v>8</v>
      </c>
      <c r="D602" s="11" t="s">
        <v>36</v>
      </c>
      <c r="E602" s="12">
        <v>40.22</v>
      </c>
      <c r="F602" s="12">
        <v>321.76</v>
      </c>
      <c r="G602" s="8">
        <v>15</v>
      </c>
      <c r="H602" s="8">
        <v>20</v>
      </c>
      <c r="I602" s="8">
        <v>25</v>
      </c>
      <c r="V602" s="13"/>
      <c r="W602" s="13"/>
      <c r="X602" s="13"/>
    </row>
    <row r="603" spans="1:24" ht="64" x14ac:dyDescent="0.2">
      <c r="A603" s="9" t="s">
        <v>6</v>
      </c>
      <c r="B603" s="10" t="s">
        <v>690</v>
      </c>
      <c r="C603" s="8">
        <v>63</v>
      </c>
      <c r="D603" s="11" t="s">
        <v>34</v>
      </c>
      <c r="E603" s="12">
        <v>33.49</v>
      </c>
      <c r="F603" s="12">
        <v>2109.87</v>
      </c>
      <c r="G603" s="8">
        <v>60</v>
      </c>
      <c r="H603" s="8">
        <v>80</v>
      </c>
      <c r="I603" s="8">
        <v>100</v>
      </c>
      <c r="J603" s="55">
        <f t="shared" ref="J603:J609" si="180">0.15*0.305*C603</f>
        <v>2.88225</v>
      </c>
      <c r="K603" s="8">
        <v>850</v>
      </c>
      <c r="N603" s="8">
        <v>0.18</v>
      </c>
      <c r="O603" s="8">
        <v>0.18</v>
      </c>
      <c r="P603" s="8">
        <v>0.18</v>
      </c>
      <c r="R603" s="8">
        <f>N603*K603*J603</f>
        <v>440.98424999999997</v>
      </c>
      <c r="S603" s="8">
        <f>O603*K603*J603</f>
        <v>440.98424999999997</v>
      </c>
      <c r="T603" s="8">
        <f>P603*K603*J603</f>
        <v>440.98424999999997</v>
      </c>
      <c r="V603" s="13">
        <v>1.2</v>
      </c>
      <c r="W603" s="13">
        <v>2.1800000000000002</v>
      </c>
      <c r="X603" s="13">
        <v>3.8</v>
      </c>
    </row>
    <row r="604" spans="1:24" ht="80" x14ac:dyDescent="0.2">
      <c r="A604" s="9" t="s">
        <v>9</v>
      </c>
      <c r="B604" s="10" t="s">
        <v>691</v>
      </c>
      <c r="C604" s="8">
        <v>5</v>
      </c>
      <c r="D604" s="11" t="s">
        <v>34</v>
      </c>
      <c r="E604" s="12">
        <v>37.81</v>
      </c>
      <c r="F604" s="12">
        <v>189.05</v>
      </c>
      <c r="G604" s="8">
        <v>60</v>
      </c>
      <c r="H604" s="8">
        <v>80</v>
      </c>
      <c r="I604" s="8">
        <v>100</v>
      </c>
      <c r="J604" s="55">
        <f t="shared" si="180"/>
        <v>0.22875000000000001</v>
      </c>
      <c r="K604" s="8">
        <v>850</v>
      </c>
      <c r="N604" s="8">
        <v>0.18</v>
      </c>
      <c r="O604" s="8">
        <v>0.18</v>
      </c>
      <c r="P604" s="8">
        <v>0.18</v>
      </c>
      <c r="R604" s="8">
        <f t="shared" ref="R604:R610" si="181">N604*K604*J604</f>
        <v>34.998750000000001</v>
      </c>
      <c r="S604" s="8">
        <f t="shared" ref="S604:S610" si="182">O604*K604*J604</f>
        <v>34.998750000000001</v>
      </c>
      <c r="T604" s="8">
        <f t="shared" ref="T604:T610" si="183">P604*K604*J604</f>
        <v>34.998750000000001</v>
      </c>
      <c r="V604" s="13">
        <v>1.2</v>
      </c>
      <c r="W604" s="13">
        <v>2.1800000000000002</v>
      </c>
      <c r="X604" s="13">
        <v>3.8</v>
      </c>
    </row>
    <row r="605" spans="1:24" ht="80" x14ac:dyDescent="0.2">
      <c r="A605" s="9" t="s">
        <v>10</v>
      </c>
      <c r="B605" s="10" t="s">
        <v>692</v>
      </c>
      <c r="C605" s="8">
        <v>139</v>
      </c>
      <c r="D605" s="11" t="s">
        <v>34</v>
      </c>
      <c r="E605" s="12">
        <v>38.89</v>
      </c>
      <c r="F605" s="12">
        <v>5405.71</v>
      </c>
      <c r="G605" s="8">
        <v>60</v>
      </c>
      <c r="H605" s="8">
        <v>80</v>
      </c>
      <c r="I605" s="8">
        <v>100</v>
      </c>
      <c r="J605" s="55">
        <f t="shared" si="180"/>
        <v>6.3592500000000003</v>
      </c>
      <c r="K605" s="8">
        <v>850</v>
      </c>
      <c r="N605" s="8">
        <v>0.18</v>
      </c>
      <c r="O605" s="8">
        <v>0.18</v>
      </c>
      <c r="P605" s="8">
        <v>0.18</v>
      </c>
      <c r="R605" s="8">
        <f t="shared" si="181"/>
        <v>972.96525000000008</v>
      </c>
      <c r="S605" s="8">
        <f t="shared" si="182"/>
        <v>972.96525000000008</v>
      </c>
      <c r="T605" s="8">
        <f t="shared" si="183"/>
        <v>972.96525000000008</v>
      </c>
      <c r="V605" s="13">
        <v>1.2</v>
      </c>
      <c r="W605" s="13">
        <v>2.1800000000000002</v>
      </c>
      <c r="X605" s="13">
        <v>3.8</v>
      </c>
    </row>
    <row r="606" spans="1:24" ht="80" x14ac:dyDescent="0.2">
      <c r="A606" s="9" t="s">
        <v>11</v>
      </c>
      <c r="B606" s="10" t="s">
        <v>693</v>
      </c>
      <c r="C606" s="8">
        <v>9</v>
      </c>
      <c r="D606" s="11" t="s">
        <v>34</v>
      </c>
      <c r="E606" s="12">
        <v>48.61</v>
      </c>
      <c r="F606" s="12">
        <v>437.49</v>
      </c>
      <c r="G606" s="8">
        <v>60</v>
      </c>
      <c r="H606" s="8">
        <v>80</v>
      </c>
      <c r="I606" s="8">
        <v>100</v>
      </c>
      <c r="J606" s="55">
        <f t="shared" si="180"/>
        <v>0.41175</v>
      </c>
      <c r="K606" s="8">
        <v>850</v>
      </c>
      <c r="N606" s="8">
        <v>0.18</v>
      </c>
      <c r="O606" s="8">
        <v>0.18</v>
      </c>
      <c r="P606" s="8">
        <v>0.18</v>
      </c>
      <c r="R606" s="8">
        <f t="shared" si="181"/>
        <v>62.997750000000003</v>
      </c>
      <c r="S606" s="8">
        <f t="shared" si="182"/>
        <v>62.997750000000003</v>
      </c>
      <c r="T606" s="8">
        <f t="shared" si="183"/>
        <v>62.997750000000003</v>
      </c>
      <c r="V606" s="13">
        <v>1.2</v>
      </c>
      <c r="W606" s="13">
        <v>2.1800000000000002</v>
      </c>
      <c r="X606" s="13">
        <v>3.8</v>
      </c>
    </row>
    <row r="607" spans="1:24" ht="80" x14ac:dyDescent="0.2">
      <c r="A607" s="9" t="s">
        <v>12</v>
      </c>
      <c r="B607" s="10" t="s">
        <v>694</v>
      </c>
      <c r="C607" s="8">
        <v>33</v>
      </c>
      <c r="D607" s="11" t="s">
        <v>34</v>
      </c>
      <c r="E607" s="12">
        <v>51.85</v>
      </c>
      <c r="F607" s="12">
        <v>1711.05</v>
      </c>
      <c r="G607" s="8">
        <v>60</v>
      </c>
      <c r="H607" s="8">
        <v>80</v>
      </c>
      <c r="I607" s="8">
        <v>100</v>
      </c>
      <c r="J607" s="55">
        <f t="shared" si="180"/>
        <v>1.5097499999999999</v>
      </c>
      <c r="K607" s="8">
        <v>850</v>
      </c>
      <c r="N607" s="8">
        <v>0.18</v>
      </c>
      <c r="O607" s="8">
        <v>0.18</v>
      </c>
      <c r="P607" s="8">
        <v>0.18</v>
      </c>
      <c r="R607" s="8">
        <f t="shared" si="181"/>
        <v>230.99175</v>
      </c>
      <c r="S607" s="8">
        <f t="shared" si="182"/>
        <v>230.99175</v>
      </c>
      <c r="T607" s="8">
        <f t="shared" si="183"/>
        <v>230.99175</v>
      </c>
      <c r="V607" s="13">
        <v>1.2</v>
      </c>
      <c r="W607" s="13">
        <v>2.1800000000000002</v>
      </c>
      <c r="X607" s="13">
        <v>3.8</v>
      </c>
    </row>
    <row r="608" spans="1:24" ht="64" x14ac:dyDescent="0.2">
      <c r="A608" s="9" t="s">
        <v>13</v>
      </c>
      <c r="B608" s="10" t="s">
        <v>695</v>
      </c>
      <c r="C608" s="8">
        <v>201</v>
      </c>
      <c r="D608" s="11" t="s">
        <v>34</v>
      </c>
      <c r="E608" s="12">
        <v>20.52</v>
      </c>
      <c r="F608" s="12">
        <v>4124.5200000000004</v>
      </c>
      <c r="G608" s="8">
        <v>60</v>
      </c>
      <c r="H608" s="8">
        <v>80</v>
      </c>
      <c r="I608" s="8">
        <v>100</v>
      </c>
      <c r="J608" s="55">
        <f t="shared" si="180"/>
        <v>9.1957500000000003</v>
      </c>
      <c r="K608" s="8">
        <v>850</v>
      </c>
      <c r="N608" s="8">
        <v>0.18</v>
      </c>
      <c r="O608" s="8">
        <v>0.18</v>
      </c>
      <c r="P608" s="8">
        <v>0.18</v>
      </c>
      <c r="R608" s="8">
        <f t="shared" si="181"/>
        <v>1406.94975</v>
      </c>
      <c r="S608" s="8">
        <f t="shared" si="182"/>
        <v>1406.94975</v>
      </c>
      <c r="T608" s="8">
        <f t="shared" si="183"/>
        <v>1406.94975</v>
      </c>
      <c r="V608" s="13">
        <v>1.2</v>
      </c>
      <c r="W608" s="13">
        <v>2.1800000000000002</v>
      </c>
      <c r="X608" s="13">
        <v>3.8</v>
      </c>
    </row>
    <row r="609" spans="1:24" ht="64" x14ac:dyDescent="0.2">
      <c r="A609" s="9" t="s">
        <v>14</v>
      </c>
      <c r="B609" s="10" t="s">
        <v>696</v>
      </c>
      <c r="C609" s="8">
        <v>7</v>
      </c>
      <c r="D609" s="11" t="s">
        <v>34</v>
      </c>
      <c r="E609" s="12">
        <v>22.69</v>
      </c>
      <c r="F609" s="12">
        <v>158.83000000000001</v>
      </c>
      <c r="G609" s="8">
        <v>60</v>
      </c>
      <c r="H609" s="8">
        <v>80</v>
      </c>
      <c r="I609" s="8">
        <v>100</v>
      </c>
      <c r="J609" s="55">
        <f t="shared" si="180"/>
        <v>0.32024999999999998</v>
      </c>
      <c r="K609" s="8">
        <v>850</v>
      </c>
      <c r="N609" s="8">
        <v>0.18</v>
      </c>
      <c r="O609" s="8">
        <v>0.18</v>
      </c>
      <c r="P609" s="8">
        <v>0.18</v>
      </c>
      <c r="R609" s="8">
        <f t="shared" si="181"/>
        <v>48.998249999999999</v>
      </c>
      <c r="S609" s="8">
        <f t="shared" si="182"/>
        <v>48.998249999999999</v>
      </c>
      <c r="T609" s="8">
        <f t="shared" si="183"/>
        <v>48.998249999999999</v>
      </c>
      <c r="V609" s="13">
        <v>1.2</v>
      </c>
      <c r="W609" s="13">
        <v>2.1800000000000002</v>
      </c>
      <c r="X609" s="13">
        <v>3.8</v>
      </c>
    </row>
    <row r="610" spans="1:24" ht="64" x14ac:dyDescent="0.2">
      <c r="A610" s="9" t="s">
        <v>15</v>
      </c>
      <c r="B610" s="10" t="s">
        <v>697</v>
      </c>
      <c r="C610" s="8">
        <v>2</v>
      </c>
      <c r="D610" s="11" t="s">
        <v>36</v>
      </c>
      <c r="E610" s="12">
        <v>32.409999999999997</v>
      </c>
      <c r="F610" s="12">
        <v>64.819999999999993</v>
      </c>
      <c r="G610" s="8">
        <v>60</v>
      </c>
      <c r="H610" s="8">
        <v>80</v>
      </c>
      <c r="I610" s="8">
        <v>100</v>
      </c>
      <c r="J610" s="55">
        <f>0.15*0.305*0.95*2</f>
        <v>8.6924999999999988E-2</v>
      </c>
      <c r="K610" s="8">
        <v>850</v>
      </c>
      <c r="N610" s="8">
        <v>0.18</v>
      </c>
      <c r="O610" s="8">
        <v>0.18</v>
      </c>
      <c r="P610" s="8">
        <v>0.18</v>
      </c>
      <c r="R610" s="8">
        <f t="shared" si="181"/>
        <v>13.299524999999997</v>
      </c>
      <c r="S610" s="8">
        <f t="shared" si="182"/>
        <v>13.299524999999997</v>
      </c>
      <c r="T610" s="8">
        <f t="shared" si="183"/>
        <v>13.299524999999997</v>
      </c>
      <c r="V610" s="13">
        <v>1.2</v>
      </c>
      <c r="W610" s="13">
        <v>2.1800000000000002</v>
      </c>
      <c r="X610" s="13">
        <v>3.8</v>
      </c>
    </row>
    <row r="611" spans="1:24" ht="32" x14ac:dyDescent="0.2">
      <c r="A611" s="9" t="s">
        <v>16</v>
      </c>
      <c r="B611" s="10" t="s">
        <v>698</v>
      </c>
      <c r="C611" s="8">
        <v>52</v>
      </c>
      <c r="D611" s="11" t="s">
        <v>33</v>
      </c>
      <c r="E611" s="12">
        <v>42.13</v>
      </c>
      <c r="F611" s="12">
        <v>2190.7600000000002</v>
      </c>
      <c r="G611" s="8">
        <v>100</v>
      </c>
      <c r="H611" s="8">
        <v>300</v>
      </c>
      <c r="I611" s="8">
        <v>500</v>
      </c>
      <c r="K611" s="8">
        <v>2240</v>
      </c>
      <c r="L611" s="8" t="s">
        <v>115</v>
      </c>
      <c r="N611" s="13">
        <v>5.1000000000000004E-3</v>
      </c>
      <c r="O611" s="13">
        <v>5.1000000000000004E-3</v>
      </c>
      <c r="P611" s="13">
        <v>5.1000000000000004E-3</v>
      </c>
      <c r="R611" s="8">
        <f>N611*K611*C611</f>
        <v>594.04800000000012</v>
      </c>
      <c r="S611" s="8">
        <f>O611*K611*C611</f>
        <v>594.04800000000012</v>
      </c>
      <c r="T611" s="8">
        <f>P611*K611*C611</f>
        <v>594.04800000000012</v>
      </c>
      <c r="V611" s="13">
        <v>0.05</v>
      </c>
      <c r="W611" s="13">
        <v>8.1000000000000003E-2</v>
      </c>
      <c r="X611" s="13">
        <v>0.15</v>
      </c>
    </row>
    <row r="612" spans="1:24" ht="32" x14ac:dyDescent="0.2">
      <c r="A612" s="9" t="s">
        <v>17</v>
      </c>
      <c r="B612" s="10" t="s">
        <v>699</v>
      </c>
      <c r="C612" s="8">
        <v>290</v>
      </c>
      <c r="D612" s="11" t="s">
        <v>33</v>
      </c>
      <c r="E612" s="12">
        <v>42.13</v>
      </c>
      <c r="F612" s="12">
        <v>12217.7</v>
      </c>
      <c r="G612" s="8">
        <v>100</v>
      </c>
      <c r="H612" s="8">
        <v>300</v>
      </c>
      <c r="I612" s="8">
        <v>500</v>
      </c>
      <c r="K612" s="8">
        <v>2240</v>
      </c>
      <c r="L612" s="8" t="s">
        <v>115</v>
      </c>
      <c r="N612" s="13">
        <v>5.1000000000000004E-3</v>
      </c>
      <c r="O612" s="13">
        <v>5.1000000000000004E-3</v>
      </c>
      <c r="P612" s="13">
        <v>5.1000000000000004E-3</v>
      </c>
      <c r="R612" s="8">
        <f t="shared" ref="R612:R613" si="184">N612*K612*C612</f>
        <v>3312.9600000000005</v>
      </c>
      <c r="S612" s="8">
        <f t="shared" ref="S612:S613" si="185">O612*K612*C612</f>
        <v>3312.9600000000005</v>
      </c>
      <c r="T612" s="8">
        <f t="shared" ref="T612:T613" si="186">P612*K612*C612</f>
        <v>3312.9600000000005</v>
      </c>
      <c r="V612" s="13">
        <v>0.05</v>
      </c>
      <c r="W612" s="13">
        <v>8.1000000000000003E-2</v>
      </c>
      <c r="X612" s="13">
        <v>0.15</v>
      </c>
    </row>
    <row r="613" spans="1:24" ht="32" x14ac:dyDescent="0.2">
      <c r="A613" s="9" t="s">
        <v>18</v>
      </c>
      <c r="B613" s="10" t="s">
        <v>698</v>
      </c>
      <c r="C613" s="8">
        <v>207</v>
      </c>
      <c r="D613" s="11" t="s">
        <v>33</v>
      </c>
      <c r="E613" s="12">
        <v>36.729999999999997</v>
      </c>
      <c r="F613" s="12">
        <v>7603.11</v>
      </c>
      <c r="G613" s="8">
        <v>100</v>
      </c>
      <c r="H613" s="8">
        <v>300</v>
      </c>
      <c r="I613" s="8">
        <v>500</v>
      </c>
      <c r="K613" s="8">
        <v>2240</v>
      </c>
      <c r="L613" s="8" t="s">
        <v>115</v>
      </c>
      <c r="N613" s="13">
        <v>5.1000000000000004E-3</v>
      </c>
      <c r="O613" s="13">
        <v>5.1000000000000004E-3</v>
      </c>
      <c r="P613" s="13">
        <v>5.1000000000000004E-3</v>
      </c>
      <c r="R613" s="8">
        <f t="shared" si="184"/>
        <v>2364.7680000000005</v>
      </c>
      <c r="S613" s="8">
        <f t="shared" si="185"/>
        <v>2364.7680000000005</v>
      </c>
      <c r="T613" s="8">
        <f t="shared" si="186"/>
        <v>2364.7680000000005</v>
      </c>
      <c r="V613" s="13">
        <v>0.05</v>
      </c>
      <c r="W613" s="13">
        <v>8.1000000000000003E-2</v>
      </c>
      <c r="X613" s="13">
        <v>0.15</v>
      </c>
    </row>
    <row r="614" spans="1:24" ht="16" x14ac:dyDescent="0.2">
      <c r="A614" s="9" t="s">
        <v>19</v>
      </c>
      <c r="B614" s="10" t="s">
        <v>700</v>
      </c>
      <c r="C614" s="8">
        <v>2002</v>
      </c>
      <c r="D614" s="11" t="s">
        <v>35</v>
      </c>
      <c r="E614" s="12">
        <v>0.76</v>
      </c>
      <c r="F614" s="12">
        <v>1521.52</v>
      </c>
      <c r="G614" s="8">
        <v>100</v>
      </c>
      <c r="H614" s="8">
        <v>300</v>
      </c>
      <c r="I614" s="8">
        <v>500</v>
      </c>
      <c r="V614" s="13"/>
      <c r="W614" s="13"/>
      <c r="X614" s="13"/>
    </row>
    <row r="615" spans="1:24" ht="32" x14ac:dyDescent="0.2">
      <c r="A615" s="9" t="s">
        <v>20</v>
      </c>
      <c r="B615" s="10" t="s">
        <v>701</v>
      </c>
      <c r="C615" s="8">
        <v>6</v>
      </c>
      <c r="D615" s="11" t="s">
        <v>33</v>
      </c>
      <c r="E615" s="12">
        <v>178.24</v>
      </c>
      <c r="F615" s="12">
        <v>1069.44</v>
      </c>
      <c r="G615" s="8">
        <v>20</v>
      </c>
      <c r="H615" s="8">
        <v>35</v>
      </c>
      <c r="I615" s="8">
        <v>45</v>
      </c>
      <c r="K615" s="8">
        <v>2300</v>
      </c>
      <c r="N615" s="13">
        <v>0.19800000000000001</v>
      </c>
      <c r="O615" s="13">
        <v>0.19800000000000001</v>
      </c>
      <c r="P615" s="13">
        <v>0.19800000000000001</v>
      </c>
      <c r="R615" s="8">
        <f t="shared" ref="R615:R616" si="187">N615*K615*C615</f>
        <v>2732.4</v>
      </c>
      <c r="S615" s="8">
        <f t="shared" ref="S615:S616" si="188">O615*K615*C615</f>
        <v>2732.4</v>
      </c>
      <c r="T615" s="8">
        <f t="shared" ref="T615:T616" si="189">P615*K615*C615</f>
        <v>2732.4</v>
      </c>
      <c r="V615" s="13">
        <v>1.92</v>
      </c>
      <c r="W615" s="13">
        <v>1.92</v>
      </c>
      <c r="X615" s="13">
        <v>1.92</v>
      </c>
    </row>
    <row r="616" spans="1:24" ht="32" x14ac:dyDescent="0.2">
      <c r="A616" s="9" t="s">
        <v>21</v>
      </c>
      <c r="B616" s="10" t="s">
        <v>702</v>
      </c>
      <c r="C616" s="8">
        <v>53</v>
      </c>
      <c r="D616" s="11" t="s">
        <v>34</v>
      </c>
      <c r="E616" s="12">
        <v>23.77</v>
      </c>
      <c r="F616" s="12">
        <v>1259.81</v>
      </c>
      <c r="G616" s="8">
        <v>47</v>
      </c>
      <c r="H616" s="8">
        <v>70</v>
      </c>
      <c r="I616" s="8">
        <v>110</v>
      </c>
      <c r="J616" s="55">
        <f>C616*0.25*0.05</f>
        <v>0.66250000000000009</v>
      </c>
      <c r="K616" s="8">
        <v>2300</v>
      </c>
      <c r="N616" s="13">
        <v>0.19800000000000001</v>
      </c>
      <c r="O616" s="13">
        <v>0.19800000000000001</v>
      </c>
      <c r="P616" s="13">
        <v>0.19800000000000001</v>
      </c>
      <c r="R616" s="8">
        <f t="shared" si="187"/>
        <v>24136.2</v>
      </c>
      <c r="S616" s="8">
        <f t="shared" si="188"/>
        <v>24136.2</v>
      </c>
      <c r="T616" s="8">
        <f t="shared" si="189"/>
        <v>24136.2</v>
      </c>
      <c r="V616" s="13">
        <v>1.92</v>
      </c>
      <c r="W616" s="13">
        <v>1.92</v>
      </c>
      <c r="X616" s="13">
        <v>1.92</v>
      </c>
    </row>
    <row r="617" spans="1:24" ht="16" x14ac:dyDescent="0.2">
      <c r="A617" s="9" t="s">
        <v>22</v>
      </c>
      <c r="B617" s="10" t="s">
        <v>703</v>
      </c>
      <c r="C617" s="8">
        <v>37</v>
      </c>
      <c r="D617" s="11" t="s">
        <v>35</v>
      </c>
      <c r="E617" s="12">
        <v>14.04</v>
      </c>
      <c r="F617" s="12">
        <v>519.48</v>
      </c>
      <c r="V617" s="13"/>
      <c r="W617" s="13"/>
      <c r="X617" s="13"/>
    </row>
    <row r="618" spans="1:24" ht="48" x14ac:dyDescent="0.2">
      <c r="A618" s="9" t="s">
        <v>6</v>
      </c>
      <c r="B618" s="10" t="s">
        <v>704</v>
      </c>
      <c r="C618" s="8">
        <v>53</v>
      </c>
      <c r="D618" s="11" t="s">
        <v>34</v>
      </c>
      <c r="E618" s="12">
        <v>12.96</v>
      </c>
      <c r="F618" s="12">
        <v>686.88</v>
      </c>
      <c r="G618" s="8">
        <v>50</v>
      </c>
      <c r="H618" s="8">
        <v>75</v>
      </c>
      <c r="I618" s="8">
        <v>100</v>
      </c>
      <c r="J618" s="55">
        <f>C618*0.15</f>
        <v>7.9499999999999993</v>
      </c>
      <c r="K618" s="8">
        <v>180</v>
      </c>
      <c r="N618" s="13">
        <v>0.74</v>
      </c>
      <c r="O618" s="13">
        <v>0.74</v>
      </c>
      <c r="P618" s="13">
        <v>0.74</v>
      </c>
      <c r="V618" s="13">
        <v>11</v>
      </c>
      <c r="W618" s="13">
        <v>11</v>
      </c>
      <c r="X618" s="13">
        <v>11</v>
      </c>
    </row>
    <row r="619" spans="1:24" ht="16" x14ac:dyDescent="0.2">
      <c r="A619" s="9" t="s">
        <v>9</v>
      </c>
      <c r="B619" s="10" t="s">
        <v>705</v>
      </c>
      <c r="C619" s="8">
        <v>37</v>
      </c>
      <c r="D619" s="11" t="s">
        <v>35</v>
      </c>
      <c r="E619" s="12">
        <v>6.48</v>
      </c>
      <c r="F619" s="12">
        <v>239.76</v>
      </c>
      <c r="V619" s="13"/>
      <c r="W619" s="13"/>
      <c r="X619" s="13"/>
    </row>
    <row r="620" spans="1:24" ht="48" x14ac:dyDescent="0.2">
      <c r="A620" s="9" t="s">
        <v>10</v>
      </c>
      <c r="B620" s="10" t="s">
        <v>706</v>
      </c>
      <c r="C620" s="8">
        <v>37</v>
      </c>
      <c r="D620" s="11" t="s">
        <v>35</v>
      </c>
      <c r="E620" s="12">
        <v>4.32</v>
      </c>
      <c r="F620" s="12">
        <v>159.84</v>
      </c>
      <c r="V620" s="13"/>
      <c r="W620" s="13"/>
      <c r="X620" s="13"/>
    </row>
    <row r="621" spans="1:24" ht="32" x14ac:dyDescent="0.2">
      <c r="A621" s="9" t="s">
        <v>11</v>
      </c>
      <c r="B621" s="10" t="s">
        <v>707</v>
      </c>
      <c r="C621" s="8">
        <v>828</v>
      </c>
      <c r="D621" s="11" t="s">
        <v>35</v>
      </c>
      <c r="E621" s="12">
        <v>15.77</v>
      </c>
      <c r="F621" s="12">
        <v>13057.56</v>
      </c>
      <c r="G621" s="8">
        <v>14</v>
      </c>
      <c r="H621" s="8">
        <v>23</v>
      </c>
      <c r="I621" s="8">
        <v>32</v>
      </c>
      <c r="J621" s="55">
        <f>C621*0.06</f>
        <v>49.68</v>
      </c>
      <c r="K621" s="8">
        <v>1700</v>
      </c>
      <c r="V621" s="13">
        <v>2.7509999999999999</v>
      </c>
      <c r="W621" s="13">
        <v>3.93</v>
      </c>
      <c r="X621" s="13">
        <v>5.109</v>
      </c>
    </row>
    <row r="622" spans="1:24" ht="16" x14ac:dyDescent="0.2">
      <c r="A622" s="9" t="s">
        <v>12</v>
      </c>
      <c r="B622" s="10" t="s">
        <v>708</v>
      </c>
      <c r="C622" s="8">
        <v>13</v>
      </c>
      <c r="D622" s="11" t="s">
        <v>35</v>
      </c>
      <c r="E622" s="12">
        <v>16.2</v>
      </c>
      <c r="F622" s="12">
        <v>210.6</v>
      </c>
      <c r="G622" s="8">
        <v>14</v>
      </c>
      <c r="H622" s="8">
        <v>23</v>
      </c>
      <c r="I622" s="8">
        <v>32</v>
      </c>
      <c r="J622" s="55">
        <f>C622*0.075</f>
        <v>0.97499999999999998</v>
      </c>
      <c r="K622" s="8">
        <v>2150</v>
      </c>
      <c r="L622" s="8" t="s">
        <v>936</v>
      </c>
      <c r="N622" s="8">
        <v>0.06</v>
      </c>
      <c r="O622" s="8">
        <v>0.06</v>
      </c>
      <c r="P622" s="8">
        <v>0.06</v>
      </c>
      <c r="R622" s="8">
        <f>N622*K622*J622</f>
        <v>125.77499999999999</v>
      </c>
      <c r="S622" s="8">
        <f>O622*K622*J622</f>
        <v>125.77499999999999</v>
      </c>
      <c r="T622" s="8">
        <f>P622*K622*J622</f>
        <v>125.77499999999999</v>
      </c>
      <c r="V622" s="13">
        <v>1</v>
      </c>
      <c r="W622" s="13">
        <v>1</v>
      </c>
      <c r="X622" s="13">
        <v>1</v>
      </c>
    </row>
    <row r="623" spans="1:24" ht="48" x14ac:dyDescent="0.2">
      <c r="A623" s="9" t="s">
        <v>13</v>
      </c>
      <c r="B623" s="10" t="s">
        <v>709</v>
      </c>
      <c r="C623" s="8">
        <v>801</v>
      </c>
      <c r="D623" s="11" t="s">
        <v>35</v>
      </c>
      <c r="E623" s="12">
        <v>59.41</v>
      </c>
      <c r="F623" s="12">
        <v>47587.41</v>
      </c>
      <c r="G623" s="8">
        <v>22</v>
      </c>
      <c r="H623" s="8">
        <v>34</v>
      </c>
      <c r="I623" s="8">
        <v>46</v>
      </c>
      <c r="J623" s="55">
        <f>C623*0.08</f>
        <v>64.08</v>
      </c>
      <c r="K623" s="8">
        <v>1920</v>
      </c>
      <c r="N623" s="8">
        <v>0.24</v>
      </c>
      <c r="O623" s="8">
        <v>0.24</v>
      </c>
      <c r="P623" s="8">
        <v>0.24</v>
      </c>
      <c r="R623" s="8">
        <f>N623*K623*J623</f>
        <v>29528.063999999995</v>
      </c>
      <c r="S623" s="8">
        <f>O623*K623*J623</f>
        <v>29528.063999999995</v>
      </c>
      <c r="T623" s="8">
        <f>P623*K623*J623</f>
        <v>29528.063999999995</v>
      </c>
      <c r="V623" s="13">
        <v>0.63</v>
      </c>
      <c r="W623" s="13">
        <v>3</v>
      </c>
      <c r="X623" s="13">
        <v>6</v>
      </c>
    </row>
    <row r="624" spans="1:24" ht="32" x14ac:dyDescent="0.2">
      <c r="A624" s="9" t="s">
        <v>14</v>
      </c>
      <c r="B624" s="10" t="s">
        <v>710</v>
      </c>
      <c r="C624" s="8">
        <v>113</v>
      </c>
      <c r="D624" s="11" t="s">
        <v>34</v>
      </c>
      <c r="E624" s="12">
        <v>16.2</v>
      </c>
      <c r="F624" s="12">
        <v>1830.6</v>
      </c>
      <c r="G624" s="8">
        <v>22</v>
      </c>
      <c r="H624" s="8">
        <v>34</v>
      </c>
      <c r="I624" s="8">
        <v>46</v>
      </c>
      <c r="V624" s="13"/>
      <c r="W624" s="13"/>
      <c r="X624" s="13"/>
    </row>
    <row r="625" spans="1:24" ht="48" x14ac:dyDescent="0.2">
      <c r="A625" s="9" t="s">
        <v>15</v>
      </c>
      <c r="B625" s="10" t="s">
        <v>709</v>
      </c>
      <c r="C625" s="8">
        <v>85</v>
      </c>
      <c r="D625" s="11" t="s">
        <v>35</v>
      </c>
      <c r="E625" s="12">
        <v>59.41</v>
      </c>
      <c r="F625" s="12">
        <v>5049.8500000000004</v>
      </c>
      <c r="G625" s="8">
        <v>22</v>
      </c>
      <c r="H625" s="8">
        <v>34</v>
      </c>
      <c r="I625" s="8">
        <v>46</v>
      </c>
      <c r="J625" s="55">
        <f>C625*0.08</f>
        <v>6.8</v>
      </c>
      <c r="K625" s="8">
        <v>1920</v>
      </c>
      <c r="N625" s="13">
        <v>0.24</v>
      </c>
      <c r="O625" s="13">
        <v>0.24</v>
      </c>
      <c r="P625" s="13">
        <v>0.24</v>
      </c>
      <c r="R625" s="8">
        <f t="shared" ref="R625" si="190">N625*K625*J625</f>
        <v>3133.4399999999996</v>
      </c>
      <c r="S625" s="8">
        <f t="shared" ref="S625" si="191">O625*K625*J625</f>
        <v>3133.4399999999996</v>
      </c>
      <c r="T625" s="8">
        <f t="shared" ref="T625" si="192">P625*K625*J625</f>
        <v>3133.4399999999996</v>
      </c>
      <c r="V625" s="13">
        <v>0.63</v>
      </c>
      <c r="W625" s="13">
        <v>3</v>
      </c>
      <c r="X625" s="13">
        <v>6</v>
      </c>
    </row>
    <row r="626" spans="1:24" ht="64" x14ac:dyDescent="0.2">
      <c r="A626" s="9" t="s">
        <v>6</v>
      </c>
      <c r="B626" s="10" t="s">
        <v>711</v>
      </c>
      <c r="C626" s="8">
        <v>5</v>
      </c>
      <c r="D626" s="11" t="s">
        <v>35</v>
      </c>
      <c r="E626" s="12">
        <v>64.81</v>
      </c>
      <c r="F626" s="12">
        <v>324.05</v>
      </c>
      <c r="G626" s="8">
        <v>5</v>
      </c>
      <c r="H626" s="8">
        <v>10</v>
      </c>
      <c r="I626" s="8">
        <v>15</v>
      </c>
      <c r="J626" s="55">
        <f>C626*0.1</f>
        <v>0.5</v>
      </c>
      <c r="K626" s="8">
        <v>2880</v>
      </c>
      <c r="N626" s="8">
        <v>0.7</v>
      </c>
      <c r="O626" s="8">
        <v>0.7</v>
      </c>
      <c r="P626" s="8">
        <v>0.7</v>
      </c>
      <c r="R626" s="8">
        <f t="shared" ref="R626" si="193">N626*K626*J626</f>
        <v>1007.9999999999999</v>
      </c>
      <c r="S626" s="8">
        <f t="shared" ref="S626" si="194">O626*K626*J626</f>
        <v>1007.9999999999999</v>
      </c>
      <c r="T626" s="8">
        <f t="shared" ref="T626" si="195">P626*K626*J626</f>
        <v>1007.9999999999999</v>
      </c>
      <c r="V626" s="13">
        <v>11</v>
      </c>
      <c r="W626" s="13">
        <v>11</v>
      </c>
      <c r="X626" s="13">
        <v>11</v>
      </c>
    </row>
    <row r="627" spans="1:24" ht="64" x14ac:dyDescent="0.2">
      <c r="A627" s="9" t="s">
        <v>9</v>
      </c>
      <c r="B627" s="10" t="s">
        <v>712</v>
      </c>
      <c r="C627" s="8">
        <v>28</v>
      </c>
      <c r="D627" s="11" t="s">
        <v>35</v>
      </c>
      <c r="E627" s="12">
        <v>48.61</v>
      </c>
      <c r="F627" s="12">
        <v>1361.08</v>
      </c>
      <c r="G627" s="8">
        <v>22</v>
      </c>
      <c r="H627" s="8">
        <v>34</v>
      </c>
      <c r="I627" s="8">
        <v>46</v>
      </c>
      <c r="J627" s="55">
        <f>C627*0.05</f>
        <v>1.4000000000000001</v>
      </c>
      <c r="K627" s="8">
        <v>1920</v>
      </c>
      <c r="N627" s="13">
        <v>0.24</v>
      </c>
      <c r="O627" s="13">
        <v>0.24</v>
      </c>
      <c r="P627" s="13">
        <v>0.24</v>
      </c>
      <c r="R627" s="8">
        <f t="shared" ref="R627:R629" si="196">N627*K627*J627</f>
        <v>645.12</v>
      </c>
      <c r="S627" s="8">
        <f t="shared" ref="S627:S629" si="197">O627*K627*J627</f>
        <v>645.12</v>
      </c>
      <c r="T627" s="8">
        <f t="shared" ref="T627:T629" si="198">P627*K627*J627</f>
        <v>645.12</v>
      </c>
      <c r="V627" s="13">
        <v>0.63</v>
      </c>
      <c r="W627" s="13">
        <v>3</v>
      </c>
      <c r="X627" s="13">
        <v>6</v>
      </c>
    </row>
    <row r="628" spans="1:24" ht="64" x14ac:dyDescent="0.2">
      <c r="A628" s="9" t="s">
        <v>10</v>
      </c>
      <c r="B628" s="10" t="s">
        <v>713</v>
      </c>
      <c r="C628" s="8">
        <v>91</v>
      </c>
      <c r="D628" s="11" t="s">
        <v>35</v>
      </c>
      <c r="E628" s="12">
        <v>48.61</v>
      </c>
      <c r="F628" s="12">
        <v>4423.51</v>
      </c>
      <c r="G628" s="8">
        <v>22</v>
      </c>
      <c r="H628" s="8">
        <v>34</v>
      </c>
      <c r="I628" s="8">
        <v>46</v>
      </c>
      <c r="J628" s="55">
        <f>C628*0.05</f>
        <v>4.55</v>
      </c>
      <c r="K628" s="8">
        <v>1920</v>
      </c>
      <c r="N628" s="13">
        <v>0.24</v>
      </c>
      <c r="O628" s="13">
        <v>0.24</v>
      </c>
      <c r="P628" s="13">
        <v>0.24</v>
      </c>
      <c r="R628" s="8">
        <f t="shared" si="196"/>
        <v>2096.64</v>
      </c>
      <c r="S628" s="8">
        <f t="shared" si="197"/>
        <v>2096.64</v>
      </c>
      <c r="T628" s="8">
        <f t="shared" si="198"/>
        <v>2096.64</v>
      </c>
      <c r="V628" s="13">
        <v>0.63</v>
      </c>
      <c r="W628" s="13">
        <v>3</v>
      </c>
      <c r="X628" s="13">
        <v>6</v>
      </c>
    </row>
    <row r="629" spans="1:24" ht="64" x14ac:dyDescent="0.2">
      <c r="A629" s="9" t="s">
        <v>11</v>
      </c>
      <c r="B629" s="10" t="s">
        <v>714</v>
      </c>
      <c r="C629" s="8">
        <v>64</v>
      </c>
      <c r="D629" s="11" t="s">
        <v>35</v>
      </c>
      <c r="E629" s="12">
        <v>48.61</v>
      </c>
      <c r="F629" s="12">
        <v>3111.04</v>
      </c>
      <c r="G629" s="8">
        <v>22</v>
      </c>
      <c r="H629" s="8">
        <v>34</v>
      </c>
      <c r="I629" s="8">
        <v>46</v>
      </c>
      <c r="J629" s="55">
        <f>C629*0.05</f>
        <v>3.2</v>
      </c>
      <c r="K629" s="8">
        <v>1920</v>
      </c>
      <c r="N629" s="13">
        <v>0.24</v>
      </c>
      <c r="O629" s="13">
        <v>0.24</v>
      </c>
      <c r="P629" s="13">
        <v>0.24</v>
      </c>
      <c r="R629" s="8">
        <f t="shared" si="196"/>
        <v>1474.56</v>
      </c>
      <c r="S629" s="8">
        <f t="shared" si="197"/>
        <v>1474.56</v>
      </c>
      <c r="T629" s="8">
        <f t="shared" si="198"/>
        <v>1474.56</v>
      </c>
      <c r="V629" s="13">
        <v>0.63</v>
      </c>
      <c r="W629" s="13">
        <v>3</v>
      </c>
      <c r="X629" s="13">
        <v>6</v>
      </c>
    </row>
    <row r="630" spans="1:24" ht="32" x14ac:dyDescent="0.2">
      <c r="A630" s="9" t="s">
        <v>12</v>
      </c>
      <c r="B630" s="10" t="s">
        <v>715</v>
      </c>
      <c r="C630" s="8">
        <v>2</v>
      </c>
      <c r="D630" s="11" t="s">
        <v>36</v>
      </c>
      <c r="E630" s="12">
        <v>124.23</v>
      </c>
      <c r="F630" s="12">
        <v>248.46</v>
      </c>
      <c r="G630" s="8">
        <v>22</v>
      </c>
      <c r="H630" s="8">
        <v>34</v>
      </c>
      <c r="I630" s="8">
        <v>46</v>
      </c>
      <c r="V630" s="13"/>
      <c r="W630" s="13"/>
      <c r="X630" s="13"/>
    </row>
    <row r="631" spans="1:24" ht="32" x14ac:dyDescent="0.2">
      <c r="A631" s="9" t="s">
        <v>13</v>
      </c>
      <c r="B631" s="10" t="s">
        <v>716</v>
      </c>
      <c r="C631" s="8">
        <v>1</v>
      </c>
      <c r="D631" s="11" t="s">
        <v>36</v>
      </c>
      <c r="E631" s="12">
        <v>297.07</v>
      </c>
      <c r="F631" s="12">
        <v>297.07</v>
      </c>
      <c r="G631" s="8">
        <v>22</v>
      </c>
      <c r="H631" s="8">
        <v>34</v>
      </c>
      <c r="I631" s="8">
        <v>46</v>
      </c>
      <c r="V631" s="13"/>
      <c r="W631" s="13"/>
      <c r="X631" s="13"/>
    </row>
    <row r="632" spans="1:24" ht="32" x14ac:dyDescent="0.2">
      <c r="A632" s="9" t="s">
        <v>14</v>
      </c>
      <c r="B632" s="10" t="s">
        <v>717</v>
      </c>
      <c r="C632" s="8">
        <v>1</v>
      </c>
      <c r="D632" s="11" t="s">
        <v>36</v>
      </c>
      <c r="E632" s="12">
        <v>621.14</v>
      </c>
      <c r="F632" s="12">
        <v>621.14</v>
      </c>
      <c r="G632" s="8">
        <v>22</v>
      </c>
      <c r="H632" s="8">
        <v>34</v>
      </c>
      <c r="I632" s="8">
        <v>46</v>
      </c>
      <c r="V632" s="13"/>
      <c r="W632" s="13"/>
      <c r="X632" s="13"/>
    </row>
    <row r="633" spans="1:24" ht="32" x14ac:dyDescent="0.2">
      <c r="A633" s="9" t="s">
        <v>15</v>
      </c>
      <c r="B633" s="10" t="s">
        <v>718</v>
      </c>
      <c r="C633" s="8">
        <v>518</v>
      </c>
      <c r="D633" s="11" t="s">
        <v>35</v>
      </c>
      <c r="E633" s="14" t="s">
        <v>76</v>
      </c>
      <c r="F633" s="14" t="s">
        <v>76</v>
      </c>
      <c r="V633" s="13"/>
      <c r="W633" s="13"/>
      <c r="X633" s="13"/>
    </row>
    <row r="634" spans="1:24" ht="32" x14ac:dyDescent="0.2">
      <c r="A634" s="9" t="s">
        <v>16</v>
      </c>
      <c r="B634" s="10" t="s">
        <v>719</v>
      </c>
      <c r="C634" s="8">
        <v>518</v>
      </c>
      <c r="D634" s="11" t="s">
        <v>35</v>
      </c>
      <c r="E634" s="14" t="s">
        <v>76</v>
      </c>
      <c r="F634" s="14" t="s">
        <v>76</v>
      </c>
      <c r="V634" s="13"/>
      <c r="W634" s="13"/>
      <c r="X634" s="13"/>
    </row>
    <row r="635" spans="1:24" ht="16" x14ac:dyDescent="0.2">
      <c r="A635" s="9" t="s">
        <v>17</v>
      </c>
      <c r="B635" s="10" t="s">
        <v>720</v>
      </c>
      <c r="C635" s="8">
        <v>518</v>
      </c>
      <c r="D635" s="11" t="s">
        <v>35</v>
      </c>
      <c r="E635" s="14" t="s">
        <v>76</v>
      </c>
      <c r="F635" s="14" t="s">
        <v>76</v>
      </c>
      <c r="V635" s="13"/>
      <c r="W635" s="13"/>
      <c r="X635" s="13"/>
    </row>
    <row r="636" spans="1:24" ht="80" x14ac:dyDescent="0.2">
      <c r="A636" s="9" t="s">
        <v>6</v>
      </c>
      <c r="B636" s="10" t="s">
        <v>721</v>
      </c>
      <c r="C636" s="8">
        <v>1</v>
      </c>
      <c r="D636" s="11" t="s">
        <v>7</v>
      </c>
      <c r="E636" s="14" t="s">
        <v>76</v>
      </c>
      <c r="F636" s="14" t="s">
        <v>76</v>
      </c>
      <c r="V636" s="13"/>
      <c r="W636" s="13"/>
      <c r="X636" s="13"/>
    </row>
    <row r="637" spans="1:24" ht="32" x14ac:dyDescent="0.2">
      <c r="A637" s="9" t="s">
        <v>9</v>
      </c>
      <c r="B637" s="10" t="s">
        <v>722</v>
      </c>
      <c r="C637" s="8">
        <v>159</v>
      </c>
      <c r="D637" s="11" t="s">
        <v>35</v>
      </c>
      <c r="E637" s="14" t="s">
        <v>76</v>
      </c>
      <c r="F637" s="14" t="s">
        <v>76</v>
      </c>
      <c r="V637" s="13"/>
      <c r="W637" s="13"/>
      <c r="X637" s="13"/>
    </row>
    <row r="638" spans="1:24" ht="16" x14ac:dyDescent="0.2">
      <c r="A638" s="9" t="s">
        <v>10</v>
      </c>
      <c r="B638" s="10" t="s">
        <v>723</v>
      </c>
      <c r="C638" s="8">
        <v>159</v>
      </c>
      <c r="D638" s="11" t="s">
        <v>35</v>
      </c>
      <c r="E638" s="14" t="s">
        <v>76</v>
      </c>
      <c r="F638" s="14" t="s">
        <v>76</v>
      </c>
      <c r="V638" s="13"/>
      <c r="W638" s="13"/>
      <c r="X638" s="13"/>
    </row>
    <row r="639" spans="1:24" ht="16" x14ac:dyDescent="0.2">
      <c r="A639" s="9" t="s">
        <v>11</v>
      </c>
      <c r="B639" s="10" t="s">
        <v>77</v>
      </c>
      <c r="C639" s="8">
        <v>159</v>
      </c>
      <c r="D639" s="11" t="s">
        <v>35</v>
      </c>
      <c r="E639" s="14" t="s">
        <v>76</v>
      </c>
      <c r="F639" s="14" t="s">
        <v>76</v>
      </c>
      <c r="V639" s="13"/>
      <c r="W639" s="13"/>
      <c r="X639" s="13"/>
    </row>
    <row r="640" spans="1:24" ht="16" x14ac:dyDescent="0.2">
      <c r="A640" s="9" t="s">
        <v>12</v>
      </c>
      <c r="B640" s="10" t="s">
        <v>724</v>
      </c>
      <c r="C640" s="8">
        <v>12</v>
      </c>
      <c r="D640" s="11" t="s">
        <v>36</v>
      </c>
      <c r="E640" s="14" t="s">
        <v>76</v>
      </c>
      <c r="F640" s="14" t="s">
        <v>76</v>
      </c>
      <c r="V640" s="13"/>
      <c r="W640" s="13"/>
      <c r="X640" s="13"/>
    </row>
    <row r="641" spans="1:24" ht="80" x14ac:dyDescent="0.2">
      <c r="A641" s="9" t="s">
        <v>13</v>
      </c>
      <c r="B641" s="10" t="s">
        <v>721</v>
      </c>
      <c r="C641" s="8">
        <v>1</v>
      </c>
      <c r="D641" s="11" t="s">
        <v>7</v>
      </c>
      <c r="E641" s="14" t="s">
        <v>76</v>
      </c>
      <c r="F641" s="14" t="s">
        <v>76</v>
      </c>
      <c r="V641" s="13"/>
      <c r="W641" s="13"/>
      <c r="X641" s="13"/>
    </row>
    <row r="642" spans="1:24" ht="64" x14ac:dyDescent="0.2">
      <c r="A642" s="9" t="s">
        <v>14</v>
      </c>
      <c r="B642" s="10" t="s">
        <v>725</v>
      </c>
      <c r="C642" s="8">
        <v>32</v>
      </c>
      <c r="D642" s="11" t="s">
        <v>34</v>
      </c>
      <c r="E642" s="12">
        <v>29.36</v>
      </c>
      <c r="F642" s="12">
        <v>939.52</v>
      </c>
      <c r="G642" s="8">
        <v>11</v>
      </c>
      <c r="H642" s="8">
        <v>19</v>
      </c>
      <c r="I642" s="8">
        <v>31</v>
      </c>
      <c r="V642" s="13"/>
      <c r="W642" s="13"/>
      <c r="X642" s="13"/>
    </row>
    <row r="643" spans="1:24" ht="64" x14ac:dyDescent="0.2">
      <c r="A643" s="9" t="s">
        <v>15</v>
      </c>
      <c r="B643" s="10" t="s">
        <v>726</v>
      </c>
      <c r="C643" s="8">
        <v>17</v>
      </c>
      <c r="D643" s="11" t="s">
        <v>34</v>
      </c>
      <c r="E643" s="12">
        <v>34.72</v>
      </c>
      <c r="F643" s="12">
        <v>590.24</v>
      </c>
      <c r="G643" s="8">
        <v>11</v>
      </c>
      <c r="H643" s="8">
        <v>19</v>
      </c>
      <c r="I643" s="8">
        <v>31</v>
      </c>
      <c r="V643" s="13"/>
      <c r="W643" s="13"/>
      <c r="X643" s="13"/>
    </row>
    <row r="644" spans="1:24" ht="64" x14ac:dyDescent="0.2">
      <c r="A644" s="9" t="s">
        <v>16</v>
      </c>
      <c r="B644" s="10" t="s">
        <v>727</v>
      </c>
      <c r="C644" s="8">
        <v>43</v>
      </c>
      <c r="D644" s="11" t="s">
        <v>34</v>
      </c>
      <c r="E644" s="12">
        <v>38.96</v>
      </c>
      <c r="F644" s="12">
        <v>1675.28</v>
      </c>
      <c r="G644" s="8">
        <v>11</v>
      </c>
      <c r="H644" s="8">
        <v>19</v>
      </c>
      <c r="I644" s="8">
        <v>31</v>
      </c>
      <c r="V644" s="13"/>
      <c r="W644" s="13"/>
      <c r="X644" s="13"/>
    </row>
    <row r="645" spans="1:24" ht="32" x14ac:dyDescent="0.2">
      <c r="A645" s="9" t="s">
        <v>17</v>
      </c>
      <c r="B645" s="10" t="s">
        <v>728</v>
      </c>
      <c r="C645" s="8">
        <v>5</v>
      </c>
      <c r="D645" s="11" t="s">
        <v>36</v>
      </c>
      <c r="E645" s="12">
        <v>197.49</v>
      </c>
      <c r="F645" s="12">
        <v>987.45</v>
      </c>
      <c r="G645" s="8">
        <v>17</v>
      </c>
      <c r="H645" s="8">
        <v>27</v>
      </c>
      <c r="I645" s="8">
        <v>40</v>
      </c>
      <c r="J645" s="55" t="s">
        <v>103</v>
      </c>
      <c r="V645" s="13"/>
      <c r="W645" s="13"/>
      <c r="X645" s="13"/>
    </row>
    <row r="646" spans="1:24" ht="48" x14ac:dyDescent="0.2">
      <c r="A646" s="9" t="s">
        <v>6</v>
      </c>
      <c r="B646" s="10" t="s">
        <v>729</v>
      </c>
      <c r="C646" s="8">
        <v>1</v>
      </c>
      <c r="D646" s="11" t="s">
        <v>36</v>
      </c>
      <c r="E646" s="12">
        <v>2000</v>
      </c>
      <c r="F646" s="12">
        <v>2000</v>
      </c>
      <c r="G646" s="8">
        <v>17</v>
      </c>
      <c r="H646" s="8">
        <v>27</v>
      </c>
      <c r="I646" s="8">
        <v>40</v>
      </c>
      <c r="J646" s="55" t="s">
        <v>103</v>
      </c>
      <c r="V646" s="13"/>
      <c r="W646" s="13"/>
      <c r="X646" s="13"/>
    </row>
    <row r="647" spans="1:24" ht="80" x14ac:dyDescent="0.2">
      <c r="A647" s="9" t="s">
        <v>9</v>
      </c>
      <c r="B647" s="10" t="s">
        <v>730</v>
      </c>
      <c r="C647" s="8">
        <v>1</v>
      </c>
      <c r="D647" s="11" t="s">
        <v>36</v>
      </c>
      <c r="E647" s="12">
        <v>1200</v>
      </c>
      <c r="F647" s="12">
        <v>1200</v>
      </c>
      <c r="G647" s="8">
        <v>17</v>
      </c>
      <c r="H647" s="8">
        <v>27</v>
      </c>
      <c r="I647" s="8">
        <v>40</v>
      </c>
      <c r="V647" s="13"/>
      <c r="W647" s="13"/>
      <c r="X647" s="13"/>
    </row>
    <row r="648" spans="1:24" ht="32" x14ac:dyDescent="0.2">
      <c r="A648" s="9" t="s">
        <v>10</v>
      </c>
      <c r="B648" s="10" t="s">
        <v>731</v>
      </c>
      <c r="C648" s="8">
        <v>1</v>
      </c>
      <c r="D648" s="11" t="s">
        <v>36</v>
      </c>
      <c r="E648" s="12">
        <v>662.04</v>
      </c>
      <c r="F648" s="12">
        <v>662.04</v>
      </c>
      <c r="G648" s="8">
        <v>10</v>
      </c>
      <c r="H648" s="8">
        <v>15</v>
      </c>
      <c r="I648" s="8">
        <v>20</v>
      </c>
      <c r="J648" s="55" t="s">
        <v>104</v>
      </c>
      <c r="V648" s="13"/>
      <c r="W648" s="13"/>
      <c r="X648" s="13"/>
    </row>
    <row r="649" spans="1:24" ht="48" x14ac:dyDescent="0.2">
      <c r="A649" s="9" t="s">
        <v>6</v>
      </c>
      <c r="B649" s="10" t="s">
        <v>732</v>
      </c>
      <c r="C649" s="8">
        <v>1</v>
      </c>
      <c r="D649" s="11" t="s">
        <v>7</v>
      </c>
      <c r="E649" s="12">
        <v>216.05</v>
      </c>
      <c r="F649" s="12">
        <v>216.05</v>
      </c>
      <c r="G649" s="8">
        <v>1</v>
      </c>
      <c r="H649" s="8">
        <v>1</v>
      </c>
      <c r="I649" s="8">
        <v>1</v>
      </c>
      <c r="V649" s="13"/>
      <c r="W649" s="13"/>
      <c r="X649" s="13"/>
    </row>
    <row r="650" spans="1:24" ht="32" x14ac:dyDescent="0.2">
      <c r="A650" s="9" t="s">
        <v>9</v>
      </c>
      <c r="B650" s="10" t="s">
        <v>733</v>
      </c>
      <c r="C650" s="8">
        <v>1</v>
      </c>
      <c r="D650" s="11" t="s">
        <v>7</v>
      </c>
      <c r="E650" s="12">
        <v>216.05</v>
      </c>
      <c r="F650" s="12">
        <v>216.05</v>
      </c>
      <c r="G650" s="8">
        <v>1</v>
      </c>
      <c r="H650" s="8">
        <v>1</v>
      </c>
      <c r="I650" s="8">
        <v>1</v>
      </c>
      <c r="V650" s="13"/>
      <c r="W650" s="13"/>
      <c r="X650" s="13"/>
    </row>
    <row r="651" spans="1:24" ht="16" x14ac:dyDescent="0.2">
      <c r="A651" s="9" t="s">
        <v>10</v>
      </c>
      <c r="B651" s="10" t="s">
        <v>78</v>
      </c>
      <c r="C651" s="8">
        <v>0</v>
      </c>
      <c r="D651" s="11" t="s">
        <v>33</v>
      </c>
      <c r="E651" s="12">
        <v>0</v>
      </c>
      <c r="F651" s="12">
        <v>0</v>
      </c>
      <c r="V651" s="13"/>
      <c r="W651" s="13"/>
      <c r="X651" s="13"/>
    </row>
    <row r="652" spans="1:24" ht="16" x14ac:dyDescent="0.2">
      <c r="A652" s="9" t="s">
        <v>11</v>
      </c>
      <c r="B652" s="10" t="s">
        <v>79</v>
      </c>
      <c r="C652" s="8">
        <v>0</v>
      </c>
      <c r="D652" s="11" t="s">
        <v>33</v>
      </c>
      <c r="E652" s="12">
        <v>0</v>
      </c>
      <c r="F652" s="12">
        <v>0</v>
      </c>
      <c r="V652" s="13"/>
      <c r="W652" s="13"/>
      <c r="X652" s="13"/>
    </row>
    <row r="653" spans="1:24" ht="16" x14ac:dyDescent="0.2">
      <c r="A653" s="9" t="s">
        <v>12</v>
      </c>
      <c r="B653" s="10" t="s">
        <v>80</v>
      </c>
      <c r="C653" s="8">
        <v>0</v>
      </c>
      <c r="D653" s="11" t="s">
        <v>33</v>
      </c>
      <c r="E653" s="12">
        <v>0</v>
      </c>
      <c r="F653" s="12">
        <v>0</v>
      </c>
      <c r="V653" s="13"/>
      <c r="W653" s="13"/>
      <c r="X653" s="13"/>
    </row>
    <row r="654" spans="1:24" ht="16" x14ac:dyDescent="0.2">
      <c r="A654" s="9" t="s">
        <v>13</v>
      </c>
      <c r="B654" s="10" t="s">
        <v>81</v>
      </c>
      <c r="C654" s="8">
        <v>0</v>
      </c>
      <c r="D654" s="11" t="s">
        <v>33</v>
      </c>
      <c r="E654" s="12">
        <v>0</v>
      </c>
      <c r="F654" s="12">
        <v>0</v>
      </c>
      <c r="V654" s="13"/>
      <c r="W654" s="13"/>
      <c r="X654" s="13"/>
    </row>
    <row r="655" spans="1:24" ht="48" x14ac:dyDescent="0.2">
      <c r="A655" s="9" t="s">
        <v>14</v>
      </c>
      <c r="B655" s="10" t="s">
        <v>82</v>
      </c>
      <c r="C655" s="8">
        <v>0</v>
      </c>
      <c r="D655" s="11" t="s">
        <v>33</v>
      </c>
      <c r="E655" s="12">
        <v>0</v>
      </c>
      <c r="F655" s="12">
        <v>0</v>
      </c>
      <c r="V655" s="13"/>
      <c r="W655" s="13"/>
      <c r="X655" s="13"/>
    </row>
    <row r="656" spans="1:24" ht="32" x14ac:dyDescent="0.2">
      <c r="A656" s="9" t="s">
        <v>15</v>
      </c>
      <c r="B656" s="10" t="s">
        <v>83</v>
      </c>
      <c r="C656" s="8">
        <v>0</v>
      </c>
      <c r="D656" s="11" t="s">
        <v>33</v>
      </c>
      <c r="E656" s="12">
        <v>0</v>
      </c>
      <c r="F656" s="12">
        <v>0</v>
      </c>
      <c r="V656" s="13"/>
      <c r="W656" s="13"/>
      <c r="X656" s="13"/>
    </row>
    <row r="657" spans="1:24" ht="32" x14ac:dyDescent="0.2">
      <c r="A657" s="9" t="s">
        <v>16</v>
      </c>
      <c r="B657" s="10" t="s">
        <v>84</v>
      </c>
      <c r="C657" s="8">
        <v>0</v>
      </c>
      <c r="D657" s="11" t="s">
        <v>33</v>
      </c>
      <c r="E657" s="12">
        <v>0</v>
      </c>
      <c r="F657" s="12">
        <v>0</v>
      </c>
      <c r="V657" s="13"/>
      <c r="W657" s="13"/>
      <c r="X657" s="13"/>
    </row>
    <row r="658" spans="1:24" ht="64" x14ac:dyDescent="0.2">
      <c r="A658" s="9" t="s">
        <v>6</v>
      </c>
      <c r="B658" s="10" t="s">
        <v>734</v>
      </c>
      <c r="C658" s="8">
        <v>114</v>
      </c>
      <c r="D658" s="11" t="s">
        <v>34</v>
      </c>
      <c r="E658" s="12">
        <v>32.409999999999997</v>
      </c>
      <c r="F658" s="12">
        <v>3694.74</v>
      </c>
      <c r="G658" s="8">
        <v>41</v>
      </c>
      <c r="H658" s="8">
        <v>63</v>
      </c>
      <c r="I658" s="8">
        <v>84</v>
      </c>
      <c r="J658" s="55">
        <f>C658*0.625*0.2</f>
        <v>14.25</v>
      </c>
      <c r="K658" s="13">
        <v>2050</v>
      </c>
      <c r="L658" s="13" t="s">
        <v>108</v>
      </c>
      <c r="N658" s="13">
        <v>2.4E-2</v>
      </c>
      <c r="O658" s="13">
        <v>2.4E-2</v>
      </c>
      <c r="P658" s="13">
        <v>2.4E-2</v>
      </c>
      <c r="R658" s="8">
        <f>N658*K658*J658</f>
        <v>701.1</v>
      </c>
      <c r="S658" s="8">
        <f>O658*K658*J658</f>
        <v>701.1</v>
      </c>
      <c r="T658" s="8">
        <f>P658*K658*J658</f>
        <v>701.1</v>
      </c>
      <c r="V658" s="13">
        <v>0.15</v>
      </c>
      <c r="W658" s="13">
        <v>0.45</v>
      </c>
      <c r="X658" s="13">
        <v>0.73</v>
      </c>
    </row>
    <row r="659" spans="1:24" ht="48" x14ac:dyDescent="0.2">
      <c r="A659" s="9" t="s">
        <v>9</v>
      </c>
      <c r="B659" s="10" t="s">
        <v>735</v>
      </c>
      <c r="C659" s="8">
        <v>114</v>
      </c>
      <c r="D659" s="11" t="s">
        <v>34</v>
      </c>
      <c r="E659" s="12">
        <v>25.93</v>
      </c>
      <c r="F659" s="12">
        <v>2956.02</v>
      </c>
      <c r="G659" s="8">
        <v>41</v>
      </c>
      <c r="H659" s="8">
        <v>63</v>
      </c>
      <c r="I659" s="8">
        <v>82</v>
      </c>
      <c r="J659" s="55">
        <f>C659*0.1*0.05</f>
        <v>0.57000000000000006</v>
      </c>
      <c r="K659" s="13">
        <v>2050</v>
      </c>
      <c r="L659" s="13" t="s">
        <v>108</v>
      </c>
      <c r="N659" s="13">
        <v>2.4E-2</v>
      </c>
      <c r="O659" s="13">
        <v>2.4E-2</v>
      </c>
      <c r="P659" s="13">
        <v>2.4E-2</v>
      </c>
      <c r="R659" s="8">
        <f t="shared" ref="R659:R672" si="199">N659*K659*J659</f>
        <v>28.044000000000004</v>
      </c>
      <c r="S659" s="8">
        <f t="shared" ref="S659:S672" si="200">O659*K659*J659</f>
        <v>28.044000000000004</v>
      </c>
      <c r="T659" s="8">
        <f t="shared" ref="T659:T672" si="201">P659*K659*J659</f>
        <v>28.044000000000004</v>
      </c>
      <c r="V659" s="13">
        <v>0.15</v>
      </c>
      <c r="W659" s="13">
        <v>0.45</v>
      </c>
      <c r="X659" s="13">
        <v>0.73</v>
      </c>
    </row>
    <row r="660" spans="1:24" ht="32" x14ac:dyDescent="0.2">
      <c r="A660" s="9" t="s">
        <v>10</v>
      </c>
      <c r="B660" s="10" t="s">
        <v>736</v>
      </c>
      <c r="C660" s="8">
        <v>114</v>
      </c>
      <c r="D660" s="11" t="s">
        <v>34</v>
      </c>
      <c r="E660" s="12">
        <v>11.88</v>
      </c>
      <c r="F660" s="12">
        <v>1354.32</v>
      </c>
      <c r="G660" s="8">
        <v>35</v>
      </c>
      <c r="H660" s="8">
        <v>53</v>
      </c>
      <c r="I660" s="8">
        <v>70</v>
      </c>
      <c r="J660" s="55">
        <f>C660*0.1*3.14*0.0032</f>
        <v>0.1145472</v>
      </c>
      <c r="K660" s="13">
        <v>37</v>
      </c>
      <c r="L660" s="13" t="s">
        <v>146</v>
      </c>
      <c r="N660" s="8">
        <v>3.23</v>
      </c>
      <c r="O660" s="8">
        <v>3.23</v>
      </c>
      <c r="P660" s="8">
        <v>3.23</v>
      </c>
      <c r="R660" s="8">
        <f t="shared" si="199"/>
        <v>13.689535872</v>
      </c>
      <c r="S660" s="8">
        <f t="shared" si="200"/>
        <v>13.689535872</v>
      </c>
      <c r="T660" s="8">
        <f t="shared" si="201"/>
        <v>13.689535872</v>
      </c>
      <c r="V660" s="13">
        <v>47.25</v>
      </c>
      <c r="W660" s="13">
        <v>67.5</v>
      </c>
      <c r="X660" s="13">
        <v>87.75</v>
      </c>
    </row>
    <row r="661" spans="1:24" ht="16" x14ac:dyDescent="0.2">
      <c r="A661" s="9" t="s">
        <v>11</v>
      </c>
      <c r="B661" s="10" t="s">
        <v>737</v>
      </c>
      <c r="C661" s="8">
        <v>38</v>
      </c>
      <c r="D661" s="11" t="s">
        <v>36</v>
      </c>
      <c r="E661" s="12">
        <v>30.25</v>
      </c>
      <c r="F661" s="12">
        <v>1149.5</v>
      </c>
      <c r="G661" s="8">
        <v>35</v>
      </c>
      <c r="H661" s="8">
        <v>53</v>
      </c>
      <c r="I661" s="8">
        <v>70</v>
      </c>
      <c r="V661" s="13"/>
      <c r="W661" s="13"/>
      <c r="X661" s="13"/>
    </row>
    <row r="662" spans="1:24" ht="32" x14ac:dyDescent="0.2">
      <c r="A662" s="9" t="s">
        <v>12</v>
      </c>
      <c r="B662" s="10" t="s">
        <v>738</v>
      </c>
      <c r="C662" s="8">
        <v>19</v>
      </c>
      <c r="D662" s="11" t="s">
        <v>36</v>
      </c>
      <c r="E662" s="12">
        <v>30.25</v>
      </c>
      <c r="F662" s="12">
        <v>574.75</v>
      </c>
      <c r="G662" s="8">
        <v>35</v>
      </c>
      <c r="H662" s="8">
        <v>53</v>
      </c>
      <c r="I662" s="8">
        <v>70</v>
      </c>
      <c r="V662" s="13"/>
      <c r="W662" s="13"/>
      <c r="X662" s="13"/>
    </row>
    <row r="663" spans="1:24" ht="32" x14ac:dyDescent="0.2">
      <c r="A663" s="9" t="s">
        <v>13</v>
      </c>
      <c r="B663" s="10" t="s">
        <v>739</v>
      </c>
      <c r="C663" s="8">
        <v>19</v>
      </c>
      <c r="D663" s="11" t="s">
        <v>36</v>
      </c>
      <c r="E663" s="12">
        <v>34.57</v>
      </c>
      <c r="F663" s="12">
        <v>656.83</v>
      </c>
      <c r="G663" s="8">
        <v>35</v>
      </c>
      <c r="H663" s="8">
        <v>53</v>
      </c>
      <c r="I663" s="8">
        <v>70</v>
      </c>
      <c r="V663" s="13"/>
      <c r="W663" s="13"/>
      <c r="X663" s="13"/>
    </row>
    <row r="664" spans="1:24" ht="16" x14ac:dyDescent="0.2">
      <c r="A664" s="9" t="s">
        <v>14</v>
      </c>
      <c r="B664" s="10" t="s">
        <v>740</v>
      </c>
      <c r="C664" s="8">
        <v>19</v>
      </c>
      <c r="D664" s="11" t="s">
        <v>36</v>
      </c>
      <c r="E664" s="12">
        <v>37.81</v>
      </c>
      <c r="F664" s="12">
        <v>718.39</v>
      </c>
      <c r="G664" s="8">
        <v>35</v>
      </c>
      <c r="H664" s="8">
        <v>53</v>
      </c>
      <c r="I664" s="8">
        <v>70</v>
      </c>
      <c r="V664" s="13"/>
      <c r="W664" s="13"/>
      <c r="X664" s="13"/>
    </row>
    <row r="665" spans="1:24" ht="32" x14ac:dyDescent="0.2">
      <c r="A665" s="9" t="s">
        <v>15</v>
      </c>
      <c r="B665" s="10" t="s">
        <v>741</v>
      </c>
      <c r="C665" s="8">
        <v>114</v>
      </c>
      <c r="D665" s="11" t="s">
        <v>34</v>
      </c>
      <c r="E665" s="12">
        <v>1.08</v>
      </c>
      <c r="F665" s="12">
        <v>123.12</v>
      </c>
      <c r="G665" s="8">
        <v>1</v>
      </c>
      <c r="H665" s="8">
        <v>1</v>
      </c>
      <c r="I665" s="8">
        <v>1</v>
      </c>
      <c r="V665" s="13"/>
      <c r="W665" s="13"/>
      <c r="X665" s="13"/>
    </row>
    <row r="666" spans="1:24" ht="32" x14ac:dyDescent="0.2">
      <c r="A666" s="9" t="s">
        <v>6</v>
      </c>
      <c r="B666" s="10" t="s">
        <v>742</v>
      </c>
      <c r="C666" s="8">
        <v>1</v>
      </c>
      <c r="D666" s="11" t="s">
        <v>7</v>
      </c>
      <c r="E666" s="12">
        <v>59.41</v>
      </c>
      <c r="F666" s="12">
        <v>59.41</v>
      </c>
      <c r="G666" s="8">
        <v>1</v>
      </c>
      <c r="H666" s="8">
        <v>1</v>
      </c>
      <c r="I666" s="8">
        <v>1</v>
      </c>
      <c r="V666" s="13"/>
      <c r="W666" s="13"/>
      <c r="X666" s="13"/>
    </row>
    <row r="667" spans="1:24" ht="48" x14ac:dyDescent="0.2">
      <c r="A667" s="9" t="s">
        <v>9</v>
      </c>
      <c r="B667" s="10" t="s">
        <v>743</v>
      </c>
      <c r="C667" s="8">
        <v>1</v>
      </c>
      <c r="D667" s="11" t="s">
        <v>36</v>
      </c>
      <c r="E667" s="12">
        <v>448.3</v>
      </c>
      <c r="F667" s="12">
        <v>448.3</v>
      </c>
      <c r="G667" s="8">
        <v>1</v>
      </c>
      <c r="H667" s="8">
        <v>1</v>
      </c>
      <c r="I667" s="8">
        <v>1</v>
      </c>
      <c r="V667" s="13"/>
      <c r="W667" s="13"/>
      <c r="X667" s="13"/>
    </row>
    <row r="668" spans="1:24" ht="32" x14ac:dyDescent="0.2">
      <c r="A668" s="9" t="s">
        <v>10</v>
      </c>
      <c r="B668" s="10" t="s">
        <v>744</v>
      </c>
      <c r="C668" s="8">
        <v>25</v>
      </c>
      <c r="D668" s="11" t="s">
        <v>34</v>
      </c>
      <c r="E668" s="12">
        <v>34.57</v>
      </c>
      <c r="F668" s="12">
        <v>864.25</v>
      </c>
      <c r="G668" s="8">
        <v>500</v>
      </c>
      <c r="H668" s="8">
        <v>750</v>
      </c>
      <c r="I668" s="8">
        <v>1000</v>
      </c>
      <c r="J668" s="55">
        <f>C668*0.9*0.225</f>
        <v>5.0625</v>
      </c>
      <c r="K668" s="13">
        <v>2050</v>
      </c>
      <c r="L668" s="13" t="s">
        <v>108</v>
      </c>
      <c r="N668" s="13">
        <v>2.4E-2</v>
      </c>
      <c r="O668" s="13">
        <v>2.4E-2</v>
      </c>
      <c r="P668" s="13">
        <v>2.4E-2</v>
      </c>
      <c r="R668" s="8">
        <f t="shared" si="199"/>
        <v>249.07500000000002</v>
      </c>
      <c r="S668" s="8">
        <f t="shared" si="200"/>
        <v>249.07500000000002</v>
      </c>
      <c r="T668" s="8">
        <f t="shared" si="201"/>
        <v>249.07500000000002</v>
      </c>
      <c r="V668" s="13">
        <v>0.15</v>
      </c>
      <c r="W668" s="13">
        <v>0.45</v>
      </c>
      <c r="X668" s="13">
        <v>0.73</v>
      </c>
    </row>
    <row r="669" spans="1:24" ht="32" x14ac:dyDescent="0.2">
      <c r="A669" s="9" t="s">
        <v>11</v>
      </c>
      <c r="B669" s="10" t="s">
        <v>745</v>
      </c>
      <c r="C669" s="8">
        <v>18</v>
      </c>
      <c r="D669" s="11" t="s">
        <v>34</v>
      </c>
      <c r="E669" s="12">
        <v>38.89</v>
      </c>
      <c r="F669" s="12">
        <v>700.02</v>
      </c>
      <c r="G669" s="8">
        <v>500</v>
      </c>
      <c r="H669" s="8">
        <v>750</v>
      </c>
      <c r="I669" s="8">
        <v>1000</v>
      </c>
      <c r="J669" s="55">
        <f>C669*0.225*1.125</f>
        <v>4.5562499999999995</v>
      </c>
      <c r="K669" s="13">
        <v>2050</v>
      </c>
      <c r="L669" s="13" t="s">
        <v>108</v>
      </c>
      <c r="N669" s="13">
        <v>2.4E-2</v>
      </c>
      <c r="O669" s="13">
        <v>2.4E-2</v>
      </c>
      <c r="P669" s="13">
        <v>2.4E-2</v>
      </c>
      <c r="R669" s="8">
        <f t="shared" si="199"/>
        <v>224.16749999999999</v>
      </c>
      <c r="S669" s="8">
        <f t="shared" si="200"/>
        <v>224.16749999999999</v>
      </c>
      <c r="T669" s="8">
        <f t="shared" si="201"/>
        <v>224.16749999999999</v>
      </c>
      <c r="V669" s="13">
        <v>0.15</v>
      </c>
      <c r="W669" s="13">
        <v>0.45</v>
      </c>
      <c r="X669" s="13">
        <v>0.73</v>
      </c>
    </row>
    <row r="670" spans="1:24" ht="32" x14ac:dyDescent="0.2">
      <c r="A670" s="9" t="s">
        <v>12</v>
      </c>
      <c r="B670" s="10" t="s">
        <v>746</v>
      </c>
      <c r="C670" s="8">
        <v>24</v>
      </c>
      <c r="D670" s="11" t="s">
        <v>34</v>
      </c>
      <c r="E670" s="12">
        <v>42.13</v>
      </c>
      <c r="F670" s="12">
        <v>1011.12</v>
      </c>
      <c r="G670" s="8">
        <v>500</v>
      </c>
      <c r="H670" s="8">
        <v>750</v>
      </c>
      <c r="I670" s="8">
        <v>1000</v>
      </c>
      <c r="J670" s="55">
        <f>C670*1.4*0.225</f>
        <v>7.5599999999999987</v>
      </c>
      <c r="K670" s="13">
        <v>2050</v>
      </c>
      <c r="L670" s="13" t="s">
        <v>108</v>
      </c>
      <c r="N670" s="13">
        <v>2.4E-2</v>
      </c>
      <c r="O670" s="13">
        <v>2.4E-2</v>
      </c>
      <c r="P670" s="13">
        <v>2.4E-2</v>
      </c>
      <c r="R670" s="8">
        <f t="shared" si="199"/>
        <v>371.95199999999994</v>
      </c>
      <c r="S670" s="8">
        <f t="shared" si="200"/>
        <v>371.95199999999994</v>
      </c>
      <c r="T670" s="8">
        <f t="shared" si="201"/>
        <v>371.95199999999994</v>
      </c>
      <c r="V670" s="13">
        <v>0.15</v>
      </c>
      <c r="W670" s="13">
        <v>0.45</v>
      </c>
      <c r="X670" s="13">
        <v>0.73</v>
      </c>
    </row>
    <row r="671" spans="1:24" ht="32" x14ac:dyDescent="0.2">
      <c r="A671" s="9" t="s">
        <v>13</v>
      </c>
      <c r="B671" s="10" t="s">
        <v>747</v>
      </c>
      <c r="C671" s="8">
        <v>17</v>
      </c>
      <c r="D671" s="11" t="s">
        <v>34</v>
      </c>
      <c r="E671" s="12">
        <v>47.53</v>
      </c>
      <c r="F671" s="12">
        <v>808.01</v>
      </c>
      <c r="G671" s="8">
        <v>500</v>
      </c>
      <c r="H671" s="8">
        <v>750</v>
      </c>
      <c r="I671" s="8">
        <v>1000</v>
      </c>
      <c r="J671" s="55">
        <f>C671*1.625*0.225</f>
        <v>6.2156250000000002</v>
      </c>
      <c r="K671" s="13">
        <v>2050</v>
      </c>
      <c r="L671" s="13" t="s">
        <v>108</v>
      </c>
      <c r="N671" s="13">
        <v>2.4E-2</v>
      </c>
      <c r="O671" s="13">
        <v>2.4E-2</v>
      </c>
      <c r="P671" s="13">
        <v>2.4E-2</v>
      </c>
      <c r="R671" s="8">
        <f t="shared" si="199"/>
        <v>305.80875000000003</v>
      </c>
      <c r="S671" s="8">
        <f t="shared" si="200"/>
        <v>305.80875000000003</v>
      </c>
      <c r="T671" s="8">
        <f t="shared" si="201"/>
        <v>305.80875000000003</v>
      </c>
      <c r="V671" s="13">
        <v>0.15</v>
      </c>
      <c r="W671" s="13">
        <v>0.45</v>
      </c>
      <c r="X671" s="13">
        <v>0.73</v>
      </c>
    </row>
    <row r="672" spans="1:24" ht="32" x14ac:dyDescent="0.2">
      <c r="A672" s="9" t="s">
        <v>14</v>
      </c>
      <c r="B672" s="10" t="s">
        <v>748</v>
      </c>
      <c r="C672" s="8">
        <v>19</v>
      </c>
      <c r="D672" s="11" t="s">
        <v>34</v>
      </c>
      <c r="E672" s="12">
        <v>51.85</v>
      </c>
      <c r="F672" s="12">
        <v>985.15</v>
      </c>
      <c r="G672" s="8">
        <v>500</v>
      </c>
      <c r="H672" s="8">
        <v>750</v>
      </c>
      <c r="I672" s="8">
        <v>1000</v>
      </c>
      <c r="J672" s="55">
        <f>C672*1.875*0.225</f>
        <v>8.015625</v>
      </c>
      <c r="K672" s="13">
        <v>2050</v>
      </c>
      <c r="L672" s="13" t="s">
        <v>108</v>
      </c>
      <c r="N672" s="13">
        <v>2.4E-2</v>
      </c>
      <c r="O672" s="13">
        <v>2.4E-2</v>
      </c>
      <c r="P672" s="13">
        <v>2.4E-2</v>
      </c>
      <c r="R672" s="8">
        <f t="shared" si="199"/>
        <v>394.36875000000003</v>
      </c>
      <c r="S672" s="8">
        <f t="shared" si="200"/>
        <v>394.36875000000003</v>
      </c>
      <c r="T672" s="8">
        <f t="shared" si="201"/>
        <v>394.36875000000003</v>
      </c>
      <c r="V672" s="13">
        <v>0.15</v>
      </c>
      <c r="W672" s="13">
        <v>0.45</v>
      </c>
      <c r="X672" s="13">
        <v>0.73</v>
      </c>
    </row>
    <row r="673" spans="1:24" ht="32" x14ac:dyDescent="0.2">
      <c r="A673" s="9" t="s">
        <v>15</v>
      </c>
      <c r="B673" s="10" t="s">
        <v>749</v>
      </c>
      <c r="C673" s="8">
        <v>103</v>
      </c>
      <c r="D673" s="11" t="s">
        <v>34</v>
      </c>
      <c r="E673" s="12">
        <v>11.88</v>
      </c>
      <c r="F673" s="12">
        <v>1223.6400000000001</v>
      </c>
      <c r="G673" s="8">
        <v>500</v>
      </c>
      <c r="H673" s="8">
        <v>750</v>
      </c>
      <c r="I673" s="8">
        <v>1000</v>
      </c>
      <c r="J673" s="55">
        <f>C673*0.225*0.05</f>
        <v>1.1587500000000002</v>
      </c>
      <c r="K673" s="13">
        <v>2240</v>
      </c>
      <c r="L673" s="13" t="s">
        <v>115</v>
      </c>
      <c r="N673" s="13">
        <v>5.1000000000000004E-3</v>
      </c>
      <c r="O673" s="13">
        <v>5.1000000000000004E-3</v>
      </c>
      <c r="P673" s="13">
        <v>5.1000000000000004E-3</v>
      </c>
      <c r="R673" s="8">
        <f t="shared" ref="R673:R674" si="202">N673*K673*J673</f>
        <v>13.237560000000004</v>
      </c>
      <c r="S673" s="8">
        <f t="shared" ref="S673:S674" si="203">O673*K673*J673</f>
        <v>13.237560000000004</v>
      </c>
      <c r="T673" s="8">
        <f t="shared" ref="T673:T674" si="204">P673*K673*J673</f>
        <v>13.237560000000004</v>
      </c>
      <c r="V673" s="13">
        <v>0.05</v>
      </c>
      <c r="W673" s="13">
        <v>8.1000000000000003E-2</v>
      </c>
      <c r="X673" s="13">
        <v>0.15</v>
      </c>
    </row>
    <row r="674" spans="1:24" ht="16" x14ac:dyDescent="0.2">
      <c r="A674" s="9" t="s">
        <v>16</v>
      </c>
      <c r="B674" s="10" t="s">
        <v>750</v>
      </c>
      <c r="C674" s="8">
        <v>103</v>
      </c>
      <c r="D674" s="11" t="s">
        <v>34</v>
      </c>
      <c r="E674" s="12">
        <v>17.28</v>
      </c>
      <c r="F674" s="12">
        <v>1779.84</v>
      </c>
      <c r="G674" s="8">
        <v>35</v>
      </c>
      <c r="H674" s="8">
        <v>53</v>
      </c>
      <c r="I674" s="8">
        <v>70</v>
      </c>
      <c r="J674" s="55">
        <f>C674*0.225*3.14*0.0032</f>
        <v>0.23286240000000002</v>
      </c>
      <c r="K674" s="13">
        <v>37</v>
      </c>
      <c r="L674" s="13" t="s">
        <v>146</v>
      </c>
      <c r="N674" s="8">
        <v>3.23</v>
      </c>
      <c r="O674" s="8">
        <v>3.23</v>
      </c>
      <c r="P674" s="8">
        <v>3.23</v>
      </c>
      <c r="R674" s="8">
        <f t="shared" si="202"/>
        <v>27.829385424000005</v>
      </c>
      <c r="S674" s="8">
        <f t="shared" si="203"/>
        <v>27.829385424000005</v>
      </c>
      <c r="T674" s="8">
        <f t="shared" si="204"/>
        <v>27.829385424000005</v>
      </c>
      <c r="V674" s="13">
        <v>47.25</v>
      </c>
      <c r="W674" s="13">
        <v>67.5</v>
      </c>
      <c r="X674" s="13">
        <v>87.75</v>
      </c>
    </row>
    <row r="675" spans="1:24" ht="16" x14ac:dyDescent="0.2">
      <c r="A675" s="9" t="s">
        <v>17</v>
      </c>
      <c r="B675" s="10" t="s">
        <v>751</v>
      </c>
      <c r="C675" s="8">
        <v>10</v>
      </c>
      <c r="D675" s="11" t="s">
        <v>36</v>
      </c>
      <c r="E675" s="12">
        <v>30.25</v>
      </c>
      <c r="F675" s="12">
        <v>302.5</v>
      </c>
      <c r="G675" s="8">
        <v>35</v>
      </c>
      <c r="H675" s="8">
        <v>53</v>
      </c>
      <c r="I675" s="8">
        <v>70</v>
      </c>
      <c r="V675" s="13"/>
      <c r="W675" s="13"/>
      <c r="X675" s="13"/>
    </row>
    <row r="676" spans="1:24" ht="32" x14ac:dyDescent="0.2">
      <c r="A676" s="9" t="s">
        <v>18</v>
      </c>
      <c r="B676" s="10" t="s">
        <v>752</v>
      </c>
      <c r="C676" s="8">
        <v>16</v>
      </c>
      <c r="D676" s="11" t="s">
        <v>36</v>
      </c>
      <c r="E676" s="12">
        <v>30.25</v>
      </c>
      <c r="F676" s="12">
        <v>484</v>
      </c>
      <c r="G676" s="8">
        <v>35</v>
      </c>
      <c r="H676" s="8">
        <v>53</v>
      </c>
      <c r="I676" s="8">
        <v>70</v>
      </c>
      <c r="V676" s="13"/>
      <c r="W676" s="13"/>
      <c r="X676" s="13"/>
    </row>
    <row r="677" spans="1:24" ht="32" x14ac:dyDescent="0.2">
      <c r="A677" s="9" t="s">
        <v>19</v>
      </c>
      <c r="B677" s="10" t="s">
        <v>753</v>
      </c>
      <c r="C677" s="8">
        <v>1</v>
      </c>
      <c r="D677" s="11" t="s">
        <v>36</v>
      </c>
      <c r="E677" s="12">
        <v>37.81</v>
      </c>
      <c r="F677" s="12">
        <v>37.81</v>
      </c>
      <c r="G677" s="8">
        <v>35</v>
      </c>
      <c r="H677" s="8">
        <v>53</v>
      </c>
      <c r="I677" s="8">
        <v>70</v>
      </c>
      <c r="V677" s="13"/>
      <c r="W677" s="13"/>
      <c r="X677" s="13"/>
    </row>
    <row r="678" spans="1:24" ht="32" x14ac:dyDescent="0.2">
      <c r="A678" s="9" t="s">
        <v>20</v>
      </c>
      <c r="B678" s="10" t="s">
        <v>754</v>
      </c>
      <c r="C678" s="8">
        <v>1</v>
      </c>
      <c r="D678" s="11" t="s">
        <v>36</v>
      </c>
      <c r="E678" s="12">
        <v>37.81</v>
      </c>
      <c r="F678" s="12">
        <v>37.81</v>
      </c>
      <c r="G678" s="8">
        <v>35</v>
      </c>
      <c r="H678" s="8">
        <v>53</v>
      </c>
      <c r="I678" s="8">
        <v>70</v>
      </c>
      <c r="V678" s="13"/>
      <c r="W678" s="13"/>
      <c r="X678" s="13"/>
    </row>
    <row r="679" spans="1:24" ht="32" x14ac:dyDescent="0.2">
      <c r="A679" s="9" t="s">
        <v>21</v>
      </c>
      <c r="B679" s="10" t="s">
        <v>741</v>
      </c>
      <c r="C679" s="8">
        <v>103</v>
      </c>
      <c r="D679" s="11" t="s">
        <v>34</v>
      </c>
      <c r="E679" s="12">
        <v>1.08</v>
      </c>
      <c r="F679" s="12">
        <v>111.24</v>
      </c>
      <c r="G679" s="8">
        <v>1</v>
      </c>
      <c r="H679" s="8">
        <v>1</v>
      </c>
      <c r="I679" s="8">
        <v>1</v>
      </c>
      <c r="V679" s="13"/>
      <c r="W679" s="13"/>
      <c r="X679" s="13"/>
    </row>
    <row r="680" spans="1:24" ht="32" x14ac:dyDescent="0.2">
      <c r="A680" s="9" t="s">
        <v>6</v>
      </c>
      <c r="B680" s="10" t="s">
        <v>755</v>
      </c>
      <c r="C680" s="8">
        <v>1</v>
      </c>
      <c r="D680" s="11" t="s">
        <v>36</v>
      </c>
      <c r="E680" s="12">
        <v>1528.54</v>
      </c>
      <c r="F680" s="12">
        <v>1528.54</v>
      </c>
      <c r="G680" s="8">
        <v>50</v>
      </c>
      <c r="H680" s="8">
        <v>50</v>
      </c>
      <c r="I680" s="8">
        <v>50</v>
      </c>
      <c r="J680" s="55">
        <f>0.15*3.14*1.2*1.25</f>
        <v>0.70649999999999991</v>
      </c>
      <c r="K680" s="8">
        <v>850</v>
      </c>
      <c r="N680" s="8">
        <v>0.24199999999999999</v>
      </c>
      <c r="O680" s="8">
        <v>0.24199999999999999</v>
      </c>
      <c r="P680" s="8">
        <v>0.24199999999999999</v>
      </c>
      <c r="R680" s="8">
        <f t="shared" ref="R680:R683" si="205">N680*K680*J680</f>
        <v>145.32704999999999</v>
      </c>
      <c r="S680" s="8">
        <f t="shared" ref="S680:S683" si="206">O680*K680*J680</f>
        <v>145.32704999999999</v>
      </c>
      <c r="T680" s="8">
        <f t="shared" ref="T680:T683" si="207">P680*K680*J680</f>
        <v>145.32704999999999</v>
      </c>
      <c r="V680" s="13">
        <v>1.2</v>
      </c>
      <c r="W680" s="13">
        <v>2.1800000000000002</v>
      </c>
      <c r="X680" s="13">
        <v>3.8</v>
      </c>
    </row>
    <row r="681" spans="1:24" ht="32" x14ac:dyDescent="0.2">
      <c r="A681" s="9" t="s">
        <v>9</v>
      </c>
      <c r="B681" s="10" t="s">
        <v>756</v>
      </c>
      <c r="C681" s="8">
        <v>2</v>
      </c>
      <c r="D681" s="11" t="s">
        <v>36</v>
      </c>
      <c r="E681" s="12">
        <v>1701.38</v>
      </c>
      <c r="F681" s="12">
        <v>3402.76</v>
      </c>
      <c r="G681" s="8">
        <v>50</v>
      </c>
      <c r="H681" s="8">
        <v>50</v>
      </c>
      <c r="I681" s="8">
        <v>50</v>
      </c>
      <c r="J681" s="55">
        <f>0.15*3.14*1.2*1.5*2</f>
        <v>1.6955999999999998</v>
      </c>
      <c r="K681" s="8">
        <v>850</v>
      </c>
      <c r="N681" s="8">
        <v>0.24199999999999999</v>
      </c>
      <c r="O681" s="8">
        <v>0.24199999999999999</v>
      </c>
      <c r="P681" s="8">
        <v>0.24199999999999999</v>
      </c>
      <c r="R681" s="8">
        <f t="shared" si="205"/>
        <v>348.78491999999994</v>
      </c>
      <c r="S681" s="8">
        <f t="shared" si="206"/>
        <v>348.78491999999994</v>
      </c>
      <c r="T681" s="8">
        <f t="shared" si="207"/>
        <v>348.78491999999994</v>
      </c>
      <c r="V681" s="13">
        <v>1.2</v>
      </c>
      <c r="W681" s="13">
        <v>2.1800000000000002</v>
      </c>
      <c r="X681" s="13">
        <v>3.8</v>
      </c>
    </row>
    <row r="682" spans="1:24" ht="32" x14ac:dyDescent="0.2">
      <c r="A682" s="9" t="s">
        <v>10</v>
      </c>
      <c r="B682" s="10" t="s">
        <v>757</v>
      </c>
      <c r="C682" s="8">
        <v>2</v>
      </c>
      <c r="D682" s="11" t="s">
        <v>36</v>
      </c>
      <c r="E682" s="12">
        <v>1824.53</v>
      </c>
      <c r="F682" s="12">
        <v>3649.06</v>
      </c>
      <c r="G682" s="8">
        <v>50</v>
      </c>
      <c r="H682" s="8">
        <v>50</v>
      </c>
      <c r="I682" s="8">
        <v>50</v>
      </c>
      <c r="J682" s="55">
        <f>0.15*1.2*3.14*1.75*2</f>
        <v>1.9782000000000002</v>
      </c>
      <c r="K682" s="8">
        <v>850</v>
      </c>
      <c r="N682" s="8">
        <v>0.24199999999999999</v>
      </c>
      <c r="O682" s="8">
        <v>0.24199999999999999</v>
      </c>
      <c r="P682" s="8">
        <v>0.24199999999999999</v>
      </c>
      <c r="R682" s="8">
        <f t="shared" si="205"/>
        <v>406.91574000000003</v>
      </c>
      <c r="S682" s="8">
        <f t="shared" si="206"/>
        <v>406.91574000000003</v>
      </c>
      <c r="T682" s="8">
        <f t="shared" si="207"/>
        <v>406.91574000000003</v>
      </c>
      <c r="V682" s="13">
        <v>1.2</v>
      </c>
      <c r="W682" s="13">
        <v>2.1800000000000002</v>
      </c>
      <c r="X682" s="13">
        <v>3.8</v>
      </c>
    </row>
    <row r="683" spans="1:24" ht="32" x14ac:dyDescent="0.2">
      <c r="A683" s="9" t="s">
        <v>11</v>
      </c>
      <c r="B683" s="10" t="s">
        <v>758</v>
      </c>
      <c r="C683" s="8">
        <v>1</v>
      </c>
      <c r="D683" s="11" t="s">
        <v>36</v>
      </c>
      <c r="E683" s="12">
        <v>1993.05</v>
      </c>
      <c r="F683" s="12">
        <v>1993.05</v>
      </c>
      <c r="G683" s="8">
        <v>50</v>
      </c>
      <c r="H683" s="8">
        <v>50</v>
      </c>
      <c r="I683" s="8">
        <v>50</v>
      </c>
      <c r="J683" s="55">
        <f>0.15*1.2*3.14*2</f>
        <v>1.1304000000000001</v>
      </c>
      <c r="K683" s="8">
        <v>850</v>
      </c>
      <c r="N683" s="8">
        <v>0.24199999999999999</v>
      </c>
      <c r="O683" s="8">
        <v>0.24199999999999999</v>
      </c>
      <c r="P683" s="8">
        <v>0.24199999999999999</v>
      </c>
      <c r="R683" s="8">
        <f t="shared" si="205"/>
        <v>232.52328</v>
      </c>
      <c r="S683" s="8">
        <f t="shared" si="206"/>
        <v>232.52328</v>
      </c>
      <c r="T683" s="8">
        <f t="shared" si="207"/>
        <v>232.52328</v>
      </c>
      <c r="V683" s="13">
        <v>1.2</v>
      </c>
      <c r="W683" s="13">
        <v>2.1800000000000002</v>
      </c>
      <c r="X683" s="13">
        <v>3.8</v>
      </c>
    </row>
    <row r="684" spans="1:24" ht="64" x14ac:dyDescent="0.2">
      <c r="A684" s="9" t="s">
        <v>12</v>
      </c>
      <c r="B684" s="10" t="s">
        <v>85</v>
      </c>
      <c r="C684" s="8">
        <v>1</v>
      </c>
      <c r="D684" s="11" t="s">
        <v>36</v>
      </c>
      <c r="E684" s="12">
        <v>1420.52</v>
      </c>
      <c r="F684" s="12">
        <v>1420.52</v>
      </c>
      <c r="G684" s="8">
        <v>50</v>
      </c>
      <c r="H684" s="8">
        <v>50</v>
      </c>
      <c r="I684" s="8">
        <v>50</v>
      </c>
      <c r="R684" s="8">
        <f t="shared" ref="R684:R689" si="208">N684*K684*J684</f>
        <v>0</v>
      </c>
      <c r="S684" s="8">
        <f t="shared" ref="S684:S689" si="209">O684*K684*J684</f>
        <v>0</v>
      </c>
      <c r="T684" s="8">
        <f t="shared" ref="T684:T689" si="210">P684*K684*J684</f>
        <v>0</v>
      </c>
      <c r="V684" s="13"/>
      <c r="W684" s="13"/>
      <c r="X684" s="13"/>
    </row>
    <row r="685" spans="1:24" ht="64" x14ac:dyDescent="0.2">
      <c r="A685" s="9" t="s">
        <v>13</v>
      </c>
      <c r="B685" s="10" t="s">
        <v>86</v>
      </c>
      <c r="C685" s="8">
        <v>1</v>
      </c>
      <c r="D685" s="11" t="s">
        <v>36</v>
      </c>
      <c r="E685" s="12">
        <v>1636.57</v>
      </c>
      <c r="F685" s="12">
        <v>1636.57</v>
      </c>
      <c r="G685" s="8">
        <v>50</v>
      </c>
      <c r="H685" s="8">
        <v>50</v>
      </c>
      <c r="I685" s="8">
        <v>50</v>
      </c>
      <c r="R685" s="8">
        <f t="shared" si="208"/>
        <v>0</v>
      </c>
      <c r="S685" s="8">
        <f t="shared" si="209"/>
        <v>0</v>
      </c>
      <c r="T685" s="8">
        <f t="shared" si="210"/>
        <v>0</v>
      </c>
      <c r="V685" s="13"/>
      <c r="W685" s="13"/>
      <c r="X685" s="13"/>
    </row>
    <row r="686" spans="1:24" ht="80" x14ac:dyDescent="0.2">
      <c r="A686" s="9" t="s">
        <v>6</v>
      </c>
      <c r="B686" s="10" t="s">
        <v>87</v>
      </c>
      <c r="C686" s="8">
        <v>1</v>
      </c>
      <c r="D686" s="11" t="s">
        <v>36</v>
      </c>
      <c r="E686" s="12">
        <v>837.19</v>
      </c>
      <c r="F686" s="12">
        <v>837.19</v>
      </c>
      <c r="G686" s="8">
        <v>35</v>
      </c>
      <c r="H686" s="8">
        <v>53</v>
      </c>
      <c r="I686" s="8">
        <v>70</v>
      </c>
      <c r="R686" s="8">
        <f t="shared" si="208"/>
        <v>0</v>
      </c>
      <c r="S686" s="8">
        <f t="shared" si="209"/>
        <v>0</v>
      </c>
      <c r="T686" s="8">
        <f t="shared" si="210"/>
        <v>0</v>
      </c>
      <c r="V686" s="13"/>
      <c r="W686" s="13"/>
      <c r="X686" s="13"/>
    </row>
    <row r="687" spans="1:24" ht="32" x14ac:dyDescent="0.2">
      <c r="A687" s="9" t="s">
        <v>6</v>
      </c>
      <c r="B687" s="10" t="s">
        <v>759</v>
      </c>
      <c r="C687" s="8">
        <v>4</v>
      </c>
      <c r="D687" s="11" t="s">
        <v>34</v>
      </c>
      <c r="E687" s="12">
        <v>32.409999999999997</v>
      </c>
      <c r="F687" s="12">
        <v>129.63999999999999</v>
      </c>
      <c r="G687" s="8">
        <v>500</v>
      </c>
      <c r="H687" s="8">
        <v>750</v>
      </c>
      <c r="I687" s="8">
        <v>1000</v>
      </c>
      <c r="J687" s="55">
        <f>C687*0.625*0.2</f>
        <v>0.5</v>
      </c>
      <c r="K687" s="13">
        <v>2050</v>
      </c>
      <c r="L687" s="13" t="s">
        <v>108</v>
      </c>
      <c r="N687" s="13">
        <v>2.4E-2</v>
      </c>
      <c r="O687" s="13">
        <v>2.4E-2</v>
      </c>
      <c r="P687" s="13">
        <v>2.4E-2</v>
      </c>
      <c r="R687" s="8">
        <f t="shared" si="208"/>
        <v>24.6</v>
      </c>
      <c r="S687" s="8">
        <f t="shared" si="209"/>
        <v>24.6</v>
      </c>
      <c r="T687" s="8">
        <f t="shared" si="210"/>
        <v>24.6</v>
      </c>
      <c r="V687" s="13">
        <v>0.15</v>
      </c>
      <c r="W687" s="13">
        <v>0.45</v>
      </c>
      <c r="X687" s="13">
        <v>0.73</v>
      </c>
    </row>
    <row r="688" spans="1:24" ht="32" x14ac:dyDescent="0.2">
      <c r="A688" s="9" t="s">
        <v>9</v>
      </c>
      <c r="B688" s="10" t="s">
        <v>760</v>
      </c>
      <c r="C688" s="8">
        <v>29</v>
      </c>
      <c r="D688" s="11" t="s">
        <v>34</v>
      </c>
      <c r="E688" s="12">
        <v>34.57</v>
      </c>
      <c r="F688" s="12">
        <v>1002.53</v>
      </c>
      <c r="G688" s="8">
        <v>500</v>
      </c>
      <c r="H688" s="8">
        <v>750</v>
      </c>
      <c r="I688" s="8">
        <v>1000</v>
      </c>
      <c r="J688" s="55">
        <f>C688*0.875*0.2</f>
        <v>5.0750000000000002</v>
      </c>
      <c r="K688" s="13">
        <v>2050</v>
      </c>
      <c r="L688" s="13" t="s">
        <v>108</v>
      </c>
      <c r="N688" s="13">
        <v>2.4E-2</v>
      </c>
      <c r="O688" s="13">
        <v>2.4E-2</v>
      </c>
      <c r="P688" s="13">
        <v>2.4E-2</v>
      </c>
      <c r="R688" s="8">
        <f t="shared" si="208"/>
        <v>249.69000000000003</v>
      </c>
      <c r="S688" s="8">
        <f t="shared" si="209"/>
        <v>249.69000000000003</v>
      </c>
      <c r="T688" s="8">
        <f t="shared" si="210"/>
        <v>249.69000000000003</v>
      </c>
      <c r="V688" s="13">
        <v>0.15</v>
      </c>
      <c r="W688" s="13">
        <v>0.45</v>
      </c>
      <c r="X688" s="13">
        <v>0.73</v>
      </c>
    </row>
    <row r="689" spans="1:24" ht="32" x14ac:dyDescent="0.2">
      <c r="A689" s="9" t="s">
        <v>10</v>
      </c>
      <c r="B689" s="10" t="s">
        <v>745</v>
      </c>
      <c r="C689" s="8">
        <v>28</v>
      </c>
      <c r="D689" s="11" t="s">
        <v>34</v>
      </c>
      <c r="E689" s="12">
        <v>38.89</v>
      </c>
      <c r="F689" s="12">
        <v>1088.92</v>
      </c>
      <c r="G689" s="8">
        <v>500</v>
      </c>
      <c r="H689" s="8">
        <v>750</v>
      </c>
      <c r="I689" s="8">
        <v>1000</v>
      </c>
      <c r="J689" s="55">
        <f>C689*1.125*0.2</f>
        <v>6.3000000000000007</v>
      </c>
      <c r="K689" s="13">
        <v>2050</v>
      </c>
      <c r="L689" s="13" t="s">
        <v>108</v>
      </c>
      <c r="N689" s="13">
        <v>2.4E-2</v>
      </c>
      <c r="O689" s="13">
        <v>2.4E-2</v>
      </c>
      <c r="P689" s="13">
        <v>2.4E-2</v>
      </c>
      <c r="R689" s="8">
        <f t="shared" si="208"/>
        <v>309.96000000000004</v>
      </c>
      <c r="S689" s="8">
        <f t="shared" si="209"/>
        <v>309.96000000000004</v>
      </c>
      <c r="T689" s="8">
        <f t="shared" si="210"/>
        <v>309.96000000000004</v>
      </c>
      <c r="V689" s="13">
        <v>0.15</v>
      </c>
      <c r="W689" s="13">
        <v>0.45</v>
      </c>
      <c r="X689" s="13">
        <v>0.73</v>
      </c>
    </row>
    <row r="690" spans="1:24" ht="32" x14ac:dyDescent="0.2">
      <c r="A690" s="9" t="s">
        <v>11</v>
      </c>
      <c r="B690" s="10" t="s">
        <v>761</v>
      </c>
      <c r="C690" s="8">
        <v>28</v>
      </c>
      <c r="D690" s="11" t="s">
        <v>34</v>
      </c>
      <c r="E690" s="12">
        <v>11.88</v>
      </c>
      <c r="F690" s="12">
        <v>332.64</v>
      </c>
      <c r="G690" s="8">
        <v>500</v>
      </c>
      <c r="H690" s="8">
        <v>750</v>
      </c>
      <c r="I690" s="8">
        <v>1000</v>
      </c>
      <c r="J690" s="55">
        <f>C690*0.1*0.05</f>
        <v>0.14000000000000001</v>
      </c>
      <c r="K690" s="13">
        <v>2240</v>
      </c>
      <c r="L690" s="13" t="s">
        <v>115</v>
      </c>
      <c r="N690" s="13">
        <v>5.1000000000000004E-3</v>
      </c>
      <c r="O690" s="13">
        <v>5.1000000000000004E-3</v>
      </c>
      <c r="P690" s="13">
        <v>5.1000000000000004E-3</v>
      </c>
      <c r="R690" s="8">
        <f t="shared" ref="R690:R692" si="211">N690*K690*J690</f>
        <v>1.5993600000000003</v>
      </c>
      <c r="S690" s="8">
        <f t="shared" ref="S690:S692" si="212">O690*K690*J690</f>
        <v>1.5993600000000003</v>
      </c>
      <c r="T690" s="8">
        <f t="shared" ref="T690:T692" si="213">P690*K690*J690</f>
        <v>1.5993600000000003</v>
      </c>
      <c r="V690" s="13">
        <v>0.05</v>
      </c>
      <c r="W690" s="13">
        <v>8.1000000000000003E-2</v>
      </c>
      <c r="X690" s="13">
        <v>0.15</v>
      </c>
    </row>
    <row r="691" spans="1:24" ht="32" x14ac:dyDescent="0.2">
      <c r="A691" s="9" t="s">
        <v>12</v>
      </c>
      <c r="B691" s="10" t="s">
        <v>761</v>
      </c>
      <c r="C691" s="8">
        <v>34</v>
      </c>
      <c r="D691" s="11" t="s">
        <v>34</v>
      </c>
      <c r="E691" s="12">
        <v>25.93</v>
      </c>
      <c r="F691" s="12">
        <v>881.62</v>
      </c>
      <c r="G691" s="8">
        <v>500</v>
      </c>
      <c r="H691" s="8">
        <v>750</v>
      </c>
      <c r="I691" s="8">
        <v>1000</v>
      </c>
      <c r="J691" s="55">
        <f>C691*0.1*0.05</f>
        <v>0.17000000000000004</v>
      </c>
      <c r="K691" s="13">
        <v>2240</v>
      </c>
      <c r="L691" s="13" t="s">
        <v>115</v>
      </c>
      <c r="N691" s="13">
        <v>5.1000000000000004E-3</v>
      </c>
      <c r="O691" s="13">
        <v>5.1000000000000004E-3</v>
      </c>
      <c r="P691" s="13">
        <v>5.1000000000000004E-3</v>
      </c>
      <c r="R691" s="8">
        <f t="shared" si="211"/>
        <v>1.9420800000000007</v>
      </c>
      <c r="S691" s="8">
        <f t="shared" si="212"/>
        <v>1.9420800000000007</v>
      </c>
      <c r="T691" s="8">
        <f t="shared" si="213"/>
        <v>1.9420800000000007</v>
      </c>
      <c r="V691" s="13">
        <v>47.25</v>
      </c>
      <c r="W691" s="13">
        <v>67.5</v>
      </c>
      <c r="X691" s="13">
        <v>87.75</v>
      </c>
    </row>
    <row r="692" spans="1:24" ht="16" x14ac:dyDescent="0.2">
      <c r="A692" s="9" t="s">
        <v>13</v>
      </c>
      <c r="B692" s="10" t="s">
        <v>762</v>
      </c>
      <c r="C692" s="8">
        <v>62</v>
      </c>
      <c r="D692" s="11" t="s">
        <v>34</v>
      </c>
      <c r="E692" s="12">
        <v>11.88</v>
      </c>
      <c r="F692" s="12">
        <v>736.56</v>
      </c>
      <c r="G692" s="8">
        <v>35</v>
      </c>
      <c r="H692" s="8">
        <v>53</v>
      </c>
      <c r="I692" s="8">
        <v>70</v>
      </c>
      <c r="J692" s="55">
        <f>C692*0.1*3.14*0.0032</f>
        <v>6.2297600000000002E-2</v>
      </c>
      <c r="K692" s="13">
        <v>37</v>
      </c>
      <c r="L692" s="13" t="s">
        <v>146</v>
      </c>
      <c r="N692" s="8">
        <v>3.23</v>
      </c>
      <c r="O692" s="8">
        <v>3.23</v>
      </c>
      <c r="P692" s="8">
        <v>3.23</v>
      </c>
      <c r="R692" s="8">
        <f t="shared" si="211"/>
        <v>7.4451861760000009</v>
      </c>
      <c r="S692" s="8">
        <f t="shared" si="212"/>
        <v>7.4451861760000009</v>
      </c>
      <c r="T692" s="8">
        <f t="shared" si="213"/>
        <v>7.4451861760000009</v>
      </c>
      <c r="V692" s="13">
        <v>47.25</v>
      </c>
      <c r="W692" s="13">
        <v>67.5</v>
      </c>
      <c r="X692" s="13">
        <v>87.75</v>
      </c>
    </row>
    <row r="693" spans="1:24" ht="16" x14ac:dyDescent="0.2">
      <c r="A693" s="9" t="s">
        <v>14</v>
      </c>
      <c r="B693" s="10" t="s">
        <v>737</v>
      </c>
      <c r="C693" s="8">
        <v>11</v>
      </c>
      <c r="D693" s="11" t="s">
        <v>36</v>
      </c>
      <c r="E693" s="12">
        <v>30.25</v>
      </c>
      <c r="F693" s="12">
        <v>332.75</v>
      </c>
      <c r="G693" s="8">
        <v>35</v>
      </c>
      <c r="H693" s="8">
        <v>53</v>
      </c>
      <c r="I693" s="8">
        <v>70</v>
      </c>
      <c r="V693" s="13"/>
      <c r="W693" s="13"/>
      <c r="X693" s="13"/>
    </row>
    <row r="694" spans="1:24" ht="32" x14ac:dyDescent="0.2">
      <c r="A694" s="9" t="s">
        <v>15</v>
      </c>
      <c r="B694" s="10" t="s">
        <v>738</v>
      </c>
      <c r="C694" s="8">
        <v>16</v>
      </c>
      <c r="D694" s="11" t="s">
        <v>36</v>
      </c>
      <c r="E694" s="12">
        <v>30.25</v>
      </c>
      <c r="F694" s="12">
        <v>484</v>
      </c>
      <c r="G694" s="8">
        <v>35</v>
      </c>
      <c r="H694" s="8">
        <v>53</v>
      </c>
      <c r="I694" s="8">
        <v>70</v>
      </c>
      <c r="V694" s="13"/>
      <c r="W694" s="13"/>
      <c r="X694" s="13"/>
    </row>
    <row r="695" spans="1:24" ht="48" x14ac:dyDescent="0.2">
      <c r="A695" s="9" t="s">
        <v>16</v>
      </c>
      <c r="B695" s="10" t="s">
        <v>763</v>
      </c>
      <c r="C695" s="8">
        <v>1</v>
      </c>
      <c r="D695" s="11" t="s">
        <v>36</v>
      </c>
      <c r="E695" s="12">
        <v>237.65</v>
      </c>
      <c r="F695" s="12">
        <v>237.65</v>
      </c>
      <c r="G695" s="8">
        <v>35</v>
      </c>
      <c r="H695" s="8">
        <v>53</v>
      </c>
      <c r="I695" s="8">
        <v>70</v>
      </c>
      <c r="V695" s="13"/>
      <c r="W695" s="13"/>
      <c r="X695" s="13"/>
    </row>
    <row r="696" spans="1:24" ht="32" x14ac:dyDescent="0.2">
      <c r="A696" s="9" t="s">
        <v>17</v>
      </c>
      <c r="B696" s="10" t="s">
        <v>741</v>
      </c>
      <c r="C696" s="8">
        <v>62</v>
      </c>
      <c r="D696" s="11" t="s">
        <v>34</v>
      </c>
      <c r="E696" s="12">
        <v>1.08</v>
      </c>
      <c r="F696" s="12">
        <v>66.959999999999994</v>
      </c>
      <c r="G696" s="8">
        <v>1</v>
      </c>
      <c r="H696" s="8">
        <v>1</v>
      </c>
      <c r="I696" s="8">
        <v>1</v>
      </c>
      <c r="V696" s="13"/>
      <c r="W696" s="13"/>
      <c r="X696" s="13"/>
    </row>
    <row r="697" spans="1:24" ht="16" x14ac:dyDescent="0.2">
      <c r="A697" s="9" t="s">
        <v>18</v>
      </c>
      <c r="B697" s="10" t="s">
        <v>88</v>
      </c>
      <c r="C697" s="8">
        <v>3</v>
      </c>
      <c r="D697" s="11" t="s">
        <v>36</v>
      </c>
      <c r="E697" s="12">
        <v>394.29</v>
      </c>
      <c r="F697" s="12">
        <v>1182.8699999999999</v>
      </c>
      <c r="G697" s="8">
        <v>50</v>
      </c>
      <c r="H697" s="8">
        <v>50</v>
      </c>
      <c r="I697" s="8">
        <v>50</v>
      </c>
      <c r="V697" s="13"/>
      <c r="W697" s="13"/>
      <c r="X697" s="13"/>
    </row>
    <row r="698" spans="1:24" ht="16" x14ac:dyDescent="0.2">
      <c r="A698" s="9" t="s">
        <v>19</v>
      </c>
      <c r="B698" s="10" t="s">
        <v>89</v>
      </c>
      <c r="C698" s="8">
        <v>5</v>
      </c>
      <c r="D698" s="11" t="s">
        <v>36</v>
      </c>
      <c r="E698" s="12">
        <v>480.71</v>
      </c>
      <c r="F698" s="12">
        <v>2403.5500000000002</v>
      </c>
      <c r="G698" s="8">
        <v>50</v>
      </c>
      <c r="H698" s="8">
        <v>50</v>
      </c>
      <c r="I698" s="8">
        <v>50</v>
      </c>
      <c r="V698" s="13"/>
      <c r="W698" s="13"/>
      <c r="X698" s="13"/>
    </row>
    <row r="699" spans="1:24" ht="16" x14ac:dyDescent="0.2">
      <c r="A699" s="9" t="s">
        <v>6</v>
      </c>
      <c r="B699" s="10" t="s">
        <v>764</v>
      </c>
      <c r="C699" s="8">
        <v>1</v>
      </c>
      <c r="D699" s="11" t="s">
        <v>7</v>
      </c>
      <c r="E699" s="12">
        <v>810.18</v>
      </c>
      <c r="F699" s="12">
        <v>810.18</v>
      </c>
      <c r="G699" s="8">
        <v>1</v>
      </c>
      <c r="H699" s="8">
        <v>1</v>
      </c>
      <c r="I699" s="8">
        <v>1</v>
      </c>
      <c r="V699" s="13"/>
      <c r="W699" s="13"/>
      <c r="X699" s="13"/>
    </row>
    <row r="700" spans="1:24" ht="16" x14ac:dyDescent="0.2">
      <c r="A700" s="9" t="s">
        <v>9</v>
      </c>
      <c r="B700" s="10" t="s">
        <v>765</v>
      </c>
      <c r="C700" s="8">
        <v>1</v>
      </c>
      <c r="D700" s="11" t="s">
        <v>7</v>
      </c>
      <c r="E700" s="12">
        <v>378.08</v>
      </c>
      <c r="F700" s="12">
        <v>378.08</v>
      </c>
      <c r="G700" s="8">
        <v>1</v>
      </c>
      <c r="H700" s="8">
        <v>1</v>
      </c>
      <c r="I700" s="8">
        <v>1</v>
      </c>
      <c r="V700" s="13"/>
      <c r="W700" s="13"/>
      <c r="X700" s="13"/>
    </row>
    <row r="701" spans="1:24" ht="16" x14ac:dyDescent="0.2">
      <c r="A701" s="9" t="s">
        <v>10</v>
      </c>
      <c r="B701" s="10" t="s">
        <v>766</v>
      </c>
      <c r="C701" s="8">
        <v>1</v>
      </c>
      <c r="D701" s="11" t="s">
        <v>7</v>
      </c>
      <c r="E701" s="12">
        <v>324.07</v>
      </c>
      <c r="F701" s="12">
        <v>324.07</v>
      </c>
      <c r="G701" s="8">
        <v>1</v>
      </c>
      <c r="H701" s="8">
        <v>1</v>
      </c>
      <c r="I701" s="8">
        <v>1</v>
      </c>
      <c r="V701" s="13"/>
      <c r="W701" s="13"/>
      <c r="X701" s="13"/>
    </row>
    <row r="702" spans="1:24" ht="16" x14ac:dyDescent="0.2">
      <c r="A702" s="9" t="s">
        <v>11</v>
      </c>
      <c r="B702" s="10" t="s">
        <v>767</v>
      </c>
      <c r="C702" s="8">
        <v>1</v>
      </c>
      <c r="D702" s="11" t="s">
        <v>7</v>
      </c>
      <c r="E702" s="12">
        <v>270.06</v>
      </c>
      <c r="F702" s="12">
        <v>270.06</v>
      </c>
      <c r="G702" s="8">
        <v>1</v>
      </c>
      <c r="H702" s="8">
        <v>1</v>
      </c>
      <c r="I702" s="8">
        <v>1</v>
      </c>
      <c r="V702" s="13"/>
      <c r="W702" s="13"/>
      <c r="X702" s="13"/>
    </row>
    <row r="703" spans="1:24" ht="16" x14ac:dyDescent="0.2">
      <c r="A703" s="9" t="s">
        <v>12</v>
      </c>
      <c r="B703" s="10" t="s">
        <v>768</v>
      </c>
      <c r="C703" s="8">
        <v>1</v>
      </c>
      <c r="D703" s="11" t="s">
        <v>7</v>
      </c>
      <c r="E703" s="12">
        <v>194.44</v>
      </c>
      <c r="F703" s="12">
        <v>194.44</v>
      </c>
      <c r="G703" s="8">
        <v>1</v>
      </c>
      <c r="H703" s="8">
        <v>1</v>
      </c>
      <c r="I703" s="8">
        <v>1</v>
      </c>
      <c r="V703" s="13"/>
      <c r="W703" s="13"/>
      <c r="X703" s="13"/>
    </row>
    <row r="704" spans="1:24" ht="32" x14ac:dyDescent="0.2">
      <c r="A704" s="9" t="s">
        <v>6</v>
      </c>
      <c r="B704" s="10" t="s">
        <v>769</v>
      </c>
      <c r="C704" s="8">
        <v>1</v>
      </c>
      <c r="D704" s="11" t="s">
        <v>7</v>
      </c>
      <c r="E704" s="12">
        <v>216.05</v>
      </c>
      <c r="F704" s="12">
        <v>216.05</v>
      </c>
      <c r="G704" s="8">
        <v>1</v>
      </c>
      <c r="H704" s="8">
        <v>1</v>
      </c>
      <c r="I704" s="8">
        <v>1</v>
      </c>
      <c r="V704" s="13"/>
      <c r="W704" s="13"/>
      <c r="X704" s="13"/>
    </row>
    <row r="705" spans="1:24" ht="16" x14ac:dyDescent="0.2">
      <c r="A705" s="9" t="s">
        <v>9</v>
      </c>
      <c r="B705" s="10" t="s">
        <v>770</v>
      </c>
      <c r="C705" s="8">
        <v>1</v>
      </c>
      <c r="D705" s="11" t="s">
        <v>7</v>
      </c>
      <c r="E705" s="12">
        <v>216.05</v>
      </c>
      <c r="F705" s="12">
        <v>216.05</v>
      </c>
      <c r="G705" s="8">
        <v>1</v>
      </c>
      <c r="H705" s="8">
        <v>1</v>
      </c>
      <c r="I705" s="8">
        <v>1</v>
      </c>
      <c r="V705" s="13"/>
      <c r="W705" s="13"/>
      <c r="X705" s="13"/>
    </row>
    <row r="706" spans="1:24" ht="64" x14ac:dyDescent="0.2">
      <c r="A706" s="9" t="s">
        <v>6</v>
      </c>
      <c r="B706" s="10" t="s">
        <v>771</v>
      </c>
      <c r="C706" s="8">
        <v>35</v>
      </c>
      <c r="D706" s="11" t="s">
        <v>34</v>
      </c>
      <c r="E706" s="12">
        <v>156.63999999999999</v>
      </c>
      <c r="F706" s="12">
        <v>5482.4</v>
      </c>
      <c r="G706" s="8">
        <v>50</v>
      </c>
      <c r="H706" s="8">
        <v>60</v>
      </c>
      <c r="I706" s="8">
        <v>70</v>
      </c>
      <c r="J706" s="55" t="s">
        <v>104</v>
      </c>
      <c r="V706" s="13"/>
      <c r="W706" s="13"/>
      <c r="X706" s="13"/>
    </row>
    <row r="707" spans="1:24" ht="16" x14ac:dyDescent="0.2">
      <c r="A707" s="9" t="s">
        <v>9</v>
      </c>
      <c r="B707" s="10" t="s">
        <v>772</v>
      </c>
      <c r="C707" s="8">
        <v>26</v>
      </c>
      <c r="D707" s="11" t="s">
        <v>36</v>
      </c>
      <c r="E707" s="12">
        <v>27.01</v>
      </c>
      <c r="F707" s="12">
        <v>702.26</v>
      </c>
      <c r="G707" s="8">
        <v>50</v>
      </c>
      <c r="H707" s="8">
        <v>60</v>
      </c>
      <c r="I707" s="8">
        <v>70</v>
      </c>
      <c r="V707" s="13"/>
      <c r="W707" s="13"/>
      <c r="X707" s="13"/>
    </row>
    <row r="708" spans="1:24" ht="32" x14ac:dyDescent="0.2">
      <c r="A708" s="9" t="s">
        <v>10</v>
      </c>
      <c r="B708" s="10" t="s">
        <v>773</v>
      </c>
      <c r="C708" s="8">
        <v>13</v>
      </c>
      <c r="D708" s="11" t="s">
        <v>36</v>
      </c>
      <c r="E708" s="12">
        <v>41.05</v>
      </c>
      <c r="F708" s="12">
        <v>533.65</v>
      </c>
      <c r="G708" s="8">
        <v>50</v>
      </c>
      <c r="H708" s="8">
        <v>60</v>
      </c>
      <c r="I708" s="8">
        <v>70</v>
      </c>
      <c r="V708" s="13"/>
      <c r="W708" s="13"/>
      <c r="X708" s="13"/>
    </row>
    <row r="709" spans="1:24" ht="48" x14ac:dyDescent="0.2">
      <c r="A709" s="9" t="s">
        <v>11</v>
      </c>
      <c r="B709" s="10" t="s">
        <v>774</v>
      </c>
      <c r="C709" s="8">
        <v>49</v>
      </c>
      <c r="D709" s="11" t="s">
        <v>34</v>
      </c>
      <c r="E709" s="12">
        <v>73.459999999999994</v>
      </c>
      <c r="F709" s="12">
        <v>3599.54</v>
      </c>
      <c r="G709" s="8">
        <v>50</v>
      </c>
      <c r="H709" s="8">
        <v>60</v>
      </c>
      <c r="I709" s="8">
        <v>70</v>
      </c>
      <c r="V709" s="13"/>
      <c r="W709" s="13"/>
      <c r="X709" s="13"/>
    </row>
    <row r="710" spans="1:24" ht="48" x14ac:dyDescent="0.2">
      <c r="A710" s="9" t="s">
        <v>12</v>
      </c>
      <c r="B710" s="10" t="s">
        <v>775</v>
      </c>
      <c r="C710" s="8">
        <v>229</v>
      </c>
      <c r="D710" s="11" t="s">
        <v>34</v>
      </c>
      <c r="E710" s="12">
        <v>34.57</v>
      </c>
      <c r="F710" s="12">
        <v>7916.53</v>
      </c>
      <c r="G710" s="8">
        <v>500</v>
      </c>
      <c r="H710" s="8">
        <v>750</v>
      </c>
      <c r="I710" s="8">
        <v>1000</v>
      </c>
      <c r="J710" s="55">
        <f>C710*0.2*0.875</f>
        <v>40.075000000000003</v>
      </c>
      <c r="K710" s="13">
        <v>2050</v>
      </c>
      <c r="L710" s="13" t="s">
        <v>108</v>
      </c>
      <c r="N710" s="13">
        <v>2.4E-2</v>
      </c>
      <c r="O710" s="13">
        <v>2.4E-2</v>
      </c>
      <c r="P710" s="13">
        <v>2.4E-2</v>
      </c>
      <c r="R710" s="8">
        <f t="shared" ref="R710:R716" si="214">N710*K710*J710</f>
        <v>1971.6900000000003</v>
      </c>
      <c r="S710" s="8">
        <f t="shared" ref="S710:S716" si="215">O710*K710*J710</f>
        <v>1971.6900000000003</v>
      </c>
      <c r="T710" s="8">
        <f t="shared" ref="T710:T716" si="216">P710*K710*J710</f>
        <v>1971.6900000000003</v>
      </c>
      <c r="V710" s="13">
        <v>0.15</v>
      </c>
      <c r="W710" s="13">
        <v>0.45</v>
      </c>
      <c r="X710" s="13">
        <v>0.73</v>
      </c>
    </row>
    <row r="711" spans="1:24" ht="48" x14ac:dyDescent="0.2">
      <c r="A711" s="9" t="s">
        <v>13</v>
      </c>
      <c r="B711" s="10" t="s">
        <v>776</v>
      </c>
      <c r="C711" s="8">
        <v>23</v>
      </c>
      <c r="D711" s="11" t="s">
        <v>34</v>
      </c>
      <c r="E711" s="12">
        <v>38.89</v>
      </c>
      <c r="F711" s="12">
        <v>894.47</v>
      </c>
      <c r="G711" s="8">
        <v>500</v>
      </c>
      <c r="H711" s="8">
        <v>750</v>
      </c>
      <c r="I711" s="8">
        <v>1000</v>
      </c>
      <c r="J711" s="55">
        <f>C711*0.2*1.125</f>
        <v>5.1750000000000007</v>
      </c>
      <c r="K711" s="13">
        <v>2050</v>
      </c>
      <c r="L711" s="13" t="s">
        <v>108</v>
      </c>
      <c r="N711" s="13">
        <v>2.4E-2</v>
      </c>
      <c r="O711" s="13">
        <v>2.4E-2</v>
      </c>
      <c r="P711" s="13">
        <v>2.4E-2</v>
      </c>
      <c r="R711" s="8">
        <f t="shared" si="214"/>
        <v>254.61000000000004</v>
      </c>
      <c r="S711" s="8">
        <f t="shared" si="215"/>
        <v>254.61000000000004</v>
      </c>
      <c r="T711" s="8">
        <f t="shared" si="216"/>
        <v>254.61000000000004</v>
      </c>
      <c r="V711" s="13">
        <v>0.15</v>
      </c>
      <c r="W711" s="13">
        <v>0.45</v>
      </c>
      <c r="X711" s="13">
        <v>0.73</v>
      </c>
    </row>
    <row r="712" spans="1:24" ht="48" x14ac:dyDescent="0.2">
      <c r="A712" s="9" t="s">
        <v>14</v>
      </c>
      <c r="B712" s="10" t="s">
        <v>777</v>
      </c>
      <c r="C712" s="8">
        <v>68</v>
      </c>
      <c r="D712" s="11" t="s">
        <v>34</v>
      </c>
      <c r="E712" s="12">
        <v>42.13</v>
      </c>
      <c r="F712" s="12">
        <v>2864.84</v>
      </c>
      <c r="G712" s="8">
        <v>500</v>
      </c>
      <c r="H712" s="8">
        <v>750</v>
      </c>
      <c r="I712" s="8">
        <v>1000</v>
      </c>
      <c r="J712" s="55">
        <f>C712*1.375*0.2</f>
        <v>18.7</v>
      </c>
      <c r="K712" s="13">
        <v>2050</v>
      </c>
      <c r="L712" s="13" t="s">
        <v>108</v>
      </c>
      <c r="N712" s="13">
        <v>2.4E-2</v>
      </c>
      <c r="O712" s="13">
        <v>2.4E-2</v>
      </c>
      <c r="P712" s="13">
        <v>2.4E-2</v>
      </c>
      <c r="R712" s="8">
        <f t="shared" si="214"/>
        <v>920.04</v>
      </c>
      <c r="S712" s="8">
        <f t="shared" si="215"/>
        <v>920.04</v>
      </c>
      <c r="T712" s="8">
        <f t="shared" si="216"/>
        <v>920.04</v>
      </c>
      <c r="V712" s="13">
        <v>0.15</v>
      </c>
      <c r="W712" s="13">
        <v>0.45</v>
      </c>
      <c r="X712" s="13">
        <v>0.73</v>
      </c>
    </row>
    <row r="713" spans="1:24" ht="48" x14ac:dyDescent="0.2">
      <c r="A713" s="9" t="s">
        <v>15</v>
      </c>
      <c r="B713" s="10" t="s">
        <v>778</v>
      </c>
      <c r="C713" s="8">
        <v>21</v>
      </c>
      <c r="D713" s="11" t="s">
        <v>34</v>
      </c>
      <c r="E713" s="12">
        <v>51.85</v>
      </c>
      <c r="F713" s="12">
        <v>1088.8499999999999</v>
      </c>
      <c r="G713" s="8">
        <v>500</v>
      </c>
      <c r="H713" s="8">
        <v>750</v>
      </c>
      <c r="I713" s="8">
        <v>1000</v>
      </c>
      <c r="J713" s="55">
        <f>C713*1.375*0.225</f>
        <v>6.4968750000000002</v>
      </c>
      <c r="K713" s="13">
        <v>2050</v>
      </c>
      <c r="L713" s="13" t="s">
        <v>108</v>
      </c>
      <c r="N713" s="13">
        <v>2.4E-2</v>
      </c>
      <c r="O713" s="13">
        <v>2.4E-2</v>
      </c>
      <c r="P713" s="13">
        <v>2.4E-2</v>
      </c>
      <c r="R713" s="8">
        <f t="shared" si="214"/>
        <v>319.64625000000001</v>
      </c>
      <c r="S713" s="8">
        <f t="shared" si="215"/>
        <v>319.64625000000001</v>
      </c>
      <c r="T713" s="8">
        <f t="shared" si="216"/>
        <v>319.64625000000001</v>
      </c>
      <c r="V713" s="13">
        <v>0.15</v>
      </c>
      <c r="W713" s="13">
        <v>0.45</v>
      </c>
      <c r="X713" s="13">
        <v>0.73</v>
      </c>
    </row>
    <row r="714" spans="1:24" ht="48" x14ac:dyDescent="0.2">
      <c r="A714" s="9" t="s">
        <v>16</v>
      </c>
      <c r="B714" s="10" t="s">
        <v>779</v>
      </c>
      <c r="C714" s="8">
        <v>68</v>
      </c>
      <c r="D714" s="11" t="s">
        <v>34</v>
      </c>
      <c r="E714" s="12">
        <v>56.17</v>
      </c>
      <c r="F714" s="12">
        <v>3819.56</v>
      </c>
      <c r="G714" s="8">
        <v>500</v>
      </c>
      <c r="H714" s="8">
        <v>750</v>
      </c>
      <c r="I714" s="8">
        <v>1000</v>
      </c>
      <c r="J714" s="55">
        <f>C714*0.225*1.625</f>
        <v>24.862500000000001</v>
      </c>
      <c r="K714" s="13">
        <v>2050</v>
      </c>
      <c r="L714" s="13" t="s">
        <v>108</v>
      </c>
      <c r="N714" s="13">
        <v>2.4E-2</v>
      </c>
      <c r="O714" s="13">
        <v>2.4E-2</v>
      </c>
      <c r="P714" s="13">
        <v>2.4E-2</v>
      </c>
      <c r="R714" s="8">
        <f t="shared" si="214"/>
        <v>1223.2350000000001</v>
      </c>
      <c r="S714" s="8">
        <f t="shared" si="215"/>
        <v>1223.2350000000001</v>
      </c>
      <c r="T714" s="8">
        <f t="shared" si="216"/>
        <v>1223.2350000000001</v>
      </c>
      <c r="V714" s="13">
        <v>0.15</v>
      </c>
      <c r="W714" s="13">
        <v>0.45</v>
      </c>
      <c r="X714" s="13">
        <v>0.73</v>
      </c>
    </row>
    <row r="715" spans="1:24" ht="48" x14ac:dyDescent="0.2">
      <c r="A715" s="9" t="s">
        <v>17</v>
      </c>
      <c r="B715" s="10" t="s">
        <v>780</v>
      </c>
      <c r="C715" s="8">
        <v>4</v>
      </c>
      <c r="D715" s="11" t="s">
        <v>34</v>
      </c>
      <c r="E715" s="12">
        <v>57.25</v>
      </c>
      <c r="F715" s="12">
        <v>229</v>
      </c>
      <c r="G715" s="8">
        <v>500</v>
      </c>
      <c r="H715" s="8">
        <v>750</v>
      </c>
      <c r="I715" s="8">
        <v>1000</v>
      </c>
      <c r="J715" s="55">
        <f>C715*0.3*1.375</f>
        <v>1.65</v>
      </c>
      <c r="K715" s="13">
        <v>2050</v>
      </c>
      <c r="L715" s="13" t="s">
        <v>108</v>
      </c>
      <c r="N715" s="13">
        <v>2.4E-2</v>
      </c>
      <c r="O715" s="13">
        <v>2.4E-2</v>
      </c>
      <c r="P715" s="13">
        <v>2.4E-2</v>
      </c>
      <c r="R715" s="8">
        <f t="shared" si="214"/>
        <v>81.180000000000007</v>
      </c>
      <c r="S715" s="8">
        <f t="shared" si="215"/>
        <v>81.180000000000007</v>
      </c>
      <c r="T715" s="8">
        <f t="shared" si="216"/>
        <v>81.180000000000007</v>
      </c>
      <c r="V715" s="13">
        <v>0.15</v>
      </c>
      <c r="W715" s="13">
        <v>0.45</v>
      </c>
      <c r="X715" s="13">
        <v>0.73</v>
      </c>
    </row>
    <row r="716" spans="1:24" ht="48" x14ac:dyDescent="0.2">
      <c r="A716" s="9" t="s">
        <v>18</v>
      </c>
      <c r="B716" s="10" t="s">
        <v>781</v>
      </c>
      <c r="C716" s="8">
        <v>12</v>
      </c>
      <c r="D716" s="11" t="s">
        <v>34</v>
      </c>
      <c r="E716" s="12">
        <v>62.65</v>
      </c>
      <c r="F716" s="12">
        <v>751.8</v>
      </c>
      <c r="G716" s="8">
        <v>500</v>
      </c>
      <c r="H716" s="8">
        <v>750</v>
      </c>
      <c r="I716" s="8">
        <v>100</v>
      </c>
      <c r="J716" s="55">
        <f>C716*0.3*1.625</f>
        <v>5.85</v>
      </c>
      <c r="K716" s="13">
        <v>2050</v>
      </c>
      <c r="L716" s="13" t="s">
        <v>108</v>
      </c>
      <c r="N716" s="13">
        <v>2.4E-2</v>
      </c>
      <c r="O716" s="13">
        <v>2.4E-2</v>
      </c>
      <c r="P716" s="13">
        <v>2.4E-2</v>
      </c>
      <c r="R716" s="8">
        <f t="shared" si="214"/>
        <v>287.82</v>
      </c>
      <c r="S716" s="8">
        <f t="shared" si="215"/>
        <v>287.82</v>
      </c>
      <c r="T716" s="8">
        <f t="shared" si="216"/>
        <v>287.82</v>
      </c>
      <c r="V716" s="13">
        <v>0.15</v>
      </c>
      <c r="W716" s="13">
        <v>0.45</v>
      </c>
      <c r="X716" s="13">
        <v>0.73</v>
      </c>
    </row>
    <row r="717" spans="1:24" ht="32" x14ac:dyDescent="0.2">
      <c r="A717" s="9" t="s">
        <v>19</v>
      </c>
      <c r="B717" s="10" t="s">
        <v>782</v>
      </c>
      <c r="C717" s="8">
        <v>7</v>
      </c>
      <c r="D717" s="11" t="s">
        <v>34</v>
      </c>
      <c r="E717" s="12">
        <v>11.88</v>
      </c>
      <c r="F717" s="12">
        <v>83.16</v>
      </c>
      <c r="G717" s="8">
        <v>500</v>
      </c>
      <c r="H717" s="8">
        <v>750</v>
      </c>
      <c r="I717" s="8">
        <v>1000</v>
      </c>
      <c r="J717" s="55">
        <f>C717*0.05*0.1</f>
        <v>3.5000000000000003E-2</v>
      </c>
      <c r="K717" s="13">
        <v>2240</v>
      </c>
      <c r="L717" s="13" t="s">
        <v>115</v>
      </c>
      <c r="N717" s="13">
        <v>5.1000000000000004E-3</v>
      </c>
      <c r="O717" s="13">
        <v>5.1000000000000004E-3</v>
      </c>
      <c r="P717" s="13">
        <v>5.1000000000000004E-3</v>
      </c>
      <c r="R717" s="8">
        <f t="shared" ref="R717:R720" si="217">N717*K717*J717</f>
        <v>0.39984000000000008</v>
      </c>
      <c r="S717" s="8">
        <f t="shared" ref="S717:S720" si="218">O717*K717*J717</f>
        <v>0.39984000000000008</v>
      </c>
      <c r="T717" s="8">
        <f t="shared" ref="T717:T720" si="219">P717*K717*J717</f>
        <v>0.39984000000000008</v>
      </c>
      <c r="V717" s="13">
        <v>0.05</v>
      </c>
      <c r="W717" s="13">
        <v>8.1000000000000003E-2</v>
      </c>
      <c r="X717" s="13">
        <v>0.15</v>
      </c>
    </row>
    <row r="718" spans="1:24" ht="32" x14ac:dyDescent="0.2">
      <c r="A718" s="9" t="s">
        <v>20</v>
      </c>
      <c r="B718" s="10" t="s">
        <v>783</v>
      </c>
      <c r="C718" s="8">
        <v>83</v>
      </c>
      <c r="D718" s="11" t="s">
        <v>34</v>
      </c>
      <c r="E718" s="12">
        <v>14.04</v>
      </c>
      <c r="F718" s="12">
        <v>1165.32</v>
      </c>
      <c r="G718" s="8">
        <v>500</v>
      </c>
      <c r="H718" s="8">
        <v>750</v>
      </c>
      <c r="I718" s="8">
        <v>1000</v>
      </c>
      <c r="J718" s="55">
        <f>C718*0.15*0.05</f>
        <v>0.62250000000000005</v>
      </c>
      <c r="K718" s="13">
        <v>2240</v>
      </c>
      <c r="L718" s="13" t="s">
        <v>115</v>
      </c>
      <c r="N718" s="13">
        <v>5.1000000000000004E-3</v>
      </c>
      <c r="O718" s="13">
        <v>5.1000000000000004E-3</v>
      </c>
      <c r="P718" s="13">
        <v>5.1000000000000004E-3</v>
      </c>
      <c r="R718" s="8">
        <f t="shared" si="217"/>
        <v>7.1114400000000018</v>
      </c>
      <c r="S718" s="8">
        <f t="shared" si="218"/>
        <v>7.1114400000000018</v>
      </c>
      <c r="T718" s="8">
        <f t="shared" si="219"/>
        <v>7.1114400000000018</v>
      </c>
      <c r="V718" s="13">
        <v>0.05</v>
      </c>
      <c r="W718" s="13">
        <v>8.1000000000000003E-2</v>
      </c>
      <c r="X718" s="13">
        <v>0.15</v>
      </c>
    </row>
    <row r="719" spans="1:24" ht="32" x14ac:dyDescent="0.2">
      <c r="A719" s="9" t="s">
        <v>21</v>
      </c>
      <c r="B719" s="10" t="s">
        <v>784</v>
      </c>
      <c r="C719" s="8">
        <v>89</v>
      </c>
      <c r="D719" s="11" t="s">
        <v>34</v>
      </c>
      <c r="E719" s="12">
        <v>16.2</v>
      </c>
      <c r="F719" s="12">
        <v>1441.8</v>
      </c>
      <c r="G719" s="8">
        <v>500</v>
      </c>
      <c r="H719" s="8">
        <v>750</v>
      </c>
      <c r="I719" s="8">
        <v>1000</v>
      </c>
      <c r="J719" s="55">
        <f>C719*0.225*0.05</f>
        <v>1.0012500000000002</v>
      </c>
      <c r="K719" s="13">
        <v>2240</v>
      </c>
      <c r="L719" s="13" t="s">
        <v>115</v>
      </c>
      <c r="N719" s="13">
        <v>5.1000000000000004E-3</v>
      </c>
      <c r="O719" s="13">
        <v>5.1000000000000004E-3</v>
      </c>
      <c r="P719" s="13">
        <v>5.1000000000000004E-3</v>
      </c>
      <c r="R719" s="8">
        <f t="shared" si="217"/>
        <v>11.438280000000004</v>
      </c>
      <c r="S719" s="8">
        <f t="shared" si="218"/>
        <v>11.438280000000004</v>
      </c>
      <c r="T719" s="8">
        <f t="shared" si="219"/>
        <v>11.438280000000004</v>
      </c>
      <c r="V719" s="13">
        <v>0.05</v>
      </c>
      <c r="W719" s="13">
        <v>8.1000000000000003E-2</v>
      </c>
      <c r="X719" s="13">
        <v>0.15</v>
      </c>
    </row>
    <row r="720" spans="1:24" ht="32" x14ac:dyDescent="0.2">
      <c r="A720" s="9" t="s">
        <v>22</v>
      </c>
      <c r="B720" s="10" t="s">
        <v>785</v>
      </c>
      <c r="C720" s="8">
        <v>16</v>
      </c>
      <c r="D720" s="11" t="s">
        <v>34</v>
      </c>
      <c r="E720" s="12">
        <v>20.52</v>
      </c>
      <c r="F720" s="12">
        <v>328.32</v>
      </c>
      <c r="G720" s="8">
        <v>500</v>
      </c>
      <c r="H720" s="8">
        <v>750</v>
      </c>
      <c r="I720" s="8">
        <v>1000</v>
      </c>
      <c r="J720" s="55">
        <f>C720*0.3*0.05</f>
        <v>0.24</v>
      </c>
      <c r="K720" s="13">
        <v>2240</v>
      </c>
      <c r="L720" s="13" t="s">
        <v>115</v>
      </c>
      <c r="N720" s="13">
        <v>5.1000000000000004E-3</v>
      </c>
      <c r="O720" s="13">
        <v>5.1000000000000004E-3</v>
      </c>
      <c r="P720" s="13">
        <v>5.1000000000000004E-3</v>
      </c>
      <c r="R720" s="8">
        <f t="shared" si="217"/>
        <v>2.7417600000000002</v>
      </c>
      <c r="S720" s="8">
        <f t="shared" si="218"/>
        <v>2.7417600000000002</v>
      </c>
      <c r="T720" s="8">
        <f t="shared" si="219"/>
        <v>2.7417600000000002</v>
      </c>
      <c r="V720" s="13">
        <v>0.05</v>
      </c>
      <c r="W720" s="13">
        <v>8.1000000000000003E-2</v>
      </c>
      <c r="X720" s="13">
        <v>0.15</v>
      </c>
    </row>
    <row r="721" spans="1:24" ht="32" x14ac:dyDescent="0.2">
      <c r="A721" s="9" t="s">
        <v>6</v>
      </c>
      <c r="B721" s="10" t="s">
        <v>786</v>
      </c>
      <c r="C721" s="8">
        <v>194</v>
      </c>
      <c r="D721" s="11" t="s">
        <v>34</v>
      </c>
      <c r="E721" s="12">
        <v>25.93</v>
      </c>
      <c r="F721" s="12">
        <v>5030.42</v>
      </c>
      <c r="G721" s="8">
        <v>500</v>
      </c>
      <c r="H721" s="8">
        <v>750</v>
      </c>
      <c r="I721" s="8">
        <v>1000</v>
      </c>
      <c r="V721" s="13"/>
      <c r="W721" s="13"/>
      <c r="X721" s="13"/>
    </row>
    <row r="722" spans="1:24" ht="32" x14ac:dyDescent="0.2">
      <c r="A722" s="9" t="s">
        <v>9</v>
      </c>
      <c r="B722" s="10" t="s">
        <v>787</v>
      </c>
      <c r="C722" s="8">
        <v>34</v>
      </c>
      <c r="D722" s="11" t="s">
        <v>34</v>
      </c>
      <c r="E722" s="12">
        <v>28.09</v>
      </c>
      <c r="F722" s="12">
        <v>955.06</v>
      </c>
      <c r="G722" s="8">
        <v>500</v>
      </c>
      <c r="H722" s="8">
        <v>750</v>
      </c>
      <c r="I722" s="8">
        <v>1000</v>
      </c>
      <c r="V722" s="13"/>
      <c r="W722" s="13"/>
      <c r="X722" s="13"/>
    </row>
    <row r="723" spans="1:24" ht="32" x14ac:dyDescent="0.2">
      <c r="A723" s="9" t="s">
        <v>10</v>
      </c>
      <c r="B723" s="10" t="s">
        <v>788</v>
      </c>
      <c r="C723" s="8">
        <v>202</v>
      </c>
      <c r="D723" s="11" t="s">
        <v>34</v>
      </c>
      <c r="E723" s="12">
        <v>11.88</v>
      </c>
      <c r="F723" s="12">
        <v>2399.7600000000002</v>
      </c>
      <c r="G723" s="8">
        <v>35</v>
      </c>
      <c r="H723" s="8">
        <v>53</v>
      </c>
      <c r="I723" s="8">
        <v>70</v>
      </c>
      <c r="J723" s="55">
        <f>C723*0.1*3.14*0.0032</f>
        <v>0.20296960000000006</v>
      </c>
      <c r="K723" s="13">
        <v>37</v>
      </c>
      <c r="L723" s="13" t="s">
        <v>146</v>
      </c>
      <c r="N723" s="8">
        <v>3.23</v>
      </c>
      <c r="O723" s="8">
        <v>3.23</v>
      </c>
      <c r="P723" s="8">
        <v>3.23</v>
      </c>
      <c r="R723" s="8">
        <f t="shared" ref="R723:R726" si="220">N723*K723*J723</f>
        <v>24.256896896000008</v>
      </c>
      <c r="S723" s="8">
        <f t="shared" ref="S723:S726" si="221">O723*K723*J723</f>
        <v>24.256896896000008</v>
      </c>
      <c r="T723" s="8">
        <f t="shared" ref="T723:T726" si="222">P723*K723*J723</f>
        <v>24.256896896000008</v>
      </c>
      <c r="V723" s="13">
        <v>47.25</v>
      </c>
      <c r="W723" s="13">
        <v>67.5</v>
      </c>
      <c r="X723" s="13">
        <v>87.75</v>
      </c>
    </row>
    <row r="724" spans="1:24" ht="32" x14ac:dyDescent="0.2">
      <c r="A724" s="9" t="s">
        <v>11</v>
      </c>
      <c r="B724" s="10" t="s">
        <v>789</v>
      </c>
      <c r="C724" s="8">
        <v>117</v>
      </c>
      <c r="D724" s="11" t="s">
        <v>34</v>
      </c>
      <c r="E724" s="12">
        <v>14.04</v>
      </c>
      <c r="F724" s="12">
        <v>1642.68</v>
      </c>
      <c r="G724" s="8">
        <v>35</v>
      </c>
      <c r="H724" s="8">
        <v>53</v>
      </c>
      <c r="I724" s="8">
        <v>70</v>
      </c>
      <c r="J724" s="55">
        <f>C724*0.15*3.14*0.0032</f>
        <v>0.17634240000000004</v>
      </c>
      <c r="K724" s="13">
        <v>37</v>
      </c>
      <c r="L724" s="13" t="s">
        <v>146</v>
      </c>
      <c r="N724" s="8">
        <v>3.23</v>
      </c>
      <c r="O724" s="8">
        <v>3.23</v>
      </c>
      <c r="P724" s="8">
        <v>3.23</v>
      </c>
      <c r="R724" s="8">
        <f t="shared" si="220"/>
        <v>21.074680224000005</v>
      </c>
      <c r="S724" s="8">
        <f t="shared" si="221"/>
        <v>21.074680224000005</v>
      </c>
      <c r="T724" s="8">
        <f t="shared" si="222"/>
        <v>21.074680224000005</v>
      </c>
      <c r="V724" s="13">
        <v>47.25</v>
      </c>
      <c r="W724" s="13">
        <v>67.5</v>
      </c>
      <c r="X724" s="13">
        <v>87.75</v>
      </c>
    </row>
    <row r="725" spans="1:24" ht="32" x14ac:dyDescent="0.2">
      <c r="A725" s="9" t="s">
        <v>12</v>
      </c>
      <c r="B725" s="10" t="s">
        <v>790</v>
      </c>
      <c r="C725" s="8">
        <v>89</v>
      </c>
      <c r="D725" s="11" t="s">
        <v>34</v>
      </c>
      <c r="E725" s="12">
        <v>17.28</v>
      </c>
      <c r="F725" s="12">
        <v>1537.92</v>
      </c>
      <c r="G725" s="8">
        <v>35</v>
      </c>
      <c r="H725" s="8">
        <v>53</v>
      </c>
      <c r="I725" s="8">
        <v>70</v>
      </c>
      <c r="J725" s="55">
        <f>C725*0.225*3.14*0.0032</f>
        <v>0.20121120000000003</v>
      </c>
      <c r="K725" s="13">
        <v>37</v>
      </c>
      <c r="L725" s="13" t="s">
        <v>146</v>
      </c>
      <c r="N725" s="8">
        <v>3.23</v>
      </c>
      <c r="O725" s="8">
        <v>3.23</v>
      </c>
      <c r="P725" s="8">
        <v>3.23</v>
      </c>
      <c r="R725" s="8">
        <f t="shared" si="220"/>
        <v>24.046750512000006</v>
      </c>
      <c r="S725" s="8">
        <f t="shared" si="221"/>
        <v>24.046750512000006</v>
      </c>
      <c r="T725" s="8">
        <f t="shared" si="222"/>
        <v>24.046750512000006</v>
      </c>
      <c r="V725" s="13">
        <v>47.25</v>
      </c>
      <c r="W725" s="13">
        <v>67.5</v>
      </c>
      <c r="X725" s="13">
        <v>87.75</v>
      </c>
    </row>
    <row r="726" spans="1:24" ht="32" x14ac:dyDescent="0.2">
      <c r="A726" s="9" t="s">
        <v>13</v>
      </c>
      <c r="B726" s="10" t="s">
        <v>791</v>
      </c>
      <c r="C726" s="8">
        <v>16</v>
      </c>
      <c r="D726" s="11" t="s">
        <v>34</v>
      </c>
      <c r="E726" s="12">
        <v>25.93</v>
      </c>
      <c r="F726" s="12">
        <v>414.88</v>
      </c>
      <c r="G726" s="8">
        <v>35</v>
      </c>
      <c r="H726" s="8">
        <v>53</v>
      </c>
      <c r="I726" s="8">
        <v>70</v>
      </c>
      <c r="J726" s="55">
        <f>C726*0.3*3.14*0.0032</f>
        <v>4.82304E-2</v>
      </c>
      <c r="K726" s="13">
        <v>37</v>
      </c>
      <c r="L726" s="13" t="s">
        <v>146</v>
      </c>
      <c r="N726" s="8">
        <v>3.23</v>
      </c>
      <c r="O726" s="8">
        <v>3.23</v>
      </c>
      <c r="P726" s="8">
        <v>3.23</v>
      </c>
      <c r="R726" s="8">
        <f t="shared" si="220"/>
        <v>5.7640151040000003</v>
      </c>
      <c r="S726" s="8">
        <f t="shared" si="221"/>
        <v>5.7640151040000003</v>
      </c>
      <c r="T726" s="8">
        <f t="shared" si="222"/>
        <v>5.7640151040000003</v>
      </c>
      <c r="V726" s="13">
        <v>47.25</v>
      </c>
      <c r="W726" s="13">
        <v>67.5</v>
      </c>
      <c r="X726" s="13">
        <v>87.75</v>
      </c>
    </row>
    <row r="727" spans="1:24" ht="16" x14ac:dyDescent="0.2">
      <c r="A727" s="9" t="s">
        <v>14</v>
      </c>
      <c r="B727" s="10" t="s">
        <v>737</v>
      </c>
      <c r="C727" s="8">
        <v>130</v>
      </c>
      <c r="D727" s="11" t="s">
        <v>36</v>
      </c>
      <c r="E727" s="12">
        <v>27.01</v>
      </c>
      <c r="F727" s="12">
        <v>3511.3</v>
      </c>
      <c r="G727" s="8">
        <v>35</v>
      </c>
      <c r="H727" s="8">
        <v>53</v>
      </c>
      <c r="I727" s="8">
        <v>70</v>
      </c>
      <c r="V727" s="13"/>
      <c r="W727" s="13"/>
      <c r="X727" s="13"/>
    </row>
    <row r="728" spans="1:24" ht="16" x14ac:dyDescent="0.2">
      <c r="A728" s="9" t="s">
        <v>15</v>
      </c>
      <c r="B728" s="10" t="s">
        <v>792</v>
      </c>
      <c r="C728" s="8">
        <v>65</v>
      </c>
      <c r="D728" s="11" t="s">
        <v>36</v>
      </c>
      <c r="E728" s="12">
        <v>30.25</v>
      </c>
      <c r="F728" s="12">
        <v>1966.25</v>
      </c>
      <c r="G728" s="8">
        <v>35</v>
      </c>
      <c r="H728" s="8">
        <v>53</v>
      </c>
      <c r="I728" s="8">
        <v>70</v>
      </c>
      <c r="V728" s="13"/>
      <c r="W728" s="13"/>
      <c r="X728" s="13"/>
    </row>
    <row r="729" spans="1:24" ht="16" x14ac:dyDescent="0.2">
      <c r="A729" s="9" t="s">
        <v>16</v>
      </c>
      <c r="B729" s="10" t="s">
        <v>751</v>
      </c>
      <c r="C729" s="8">
        <v>24</v>
      </c>
      <c r="D729" s="11" t="s">
        <v>36</v>
      </c>
      <c r="E729" s="12">
        <v>32.409999999999997</v>
      </c>
      <c r="F729" s="12">
        <v>777.84</v>
      </c>
      <c r="G729" s="8">
        <v>35</v>
      </c>
      <c r="H729" s="8">
        <v>53</v>
      </c>
      <c r="I729" s="8">
        <v>70</v>
      </c>
      <c r="V729" s="13"/>
      <c r="W729" s="13"/>
      <c r="X729" s="13"/>
    </row>
    <row r="730" spans="1:24" ht="16" x14ac:dyDescent="0.2">
      <c r="A730" s="9" t="s">
        <v>17</v>
      </c>
      <c r="B730" s="10" t="s">
        <v>793</v>
      </c>
      <c r="C730" s="8">
        <v>3</v>
      </c>
      <c r="D730" s="11" t="s">
        <v>36</v>
      </c>
      <c r="E730" s="12">
        <v>41.05</v>
      </c>
      <c r="F730" s="12">
        <v>123.15</v>
      </c>
      <c r="G730" s="8">
        <v>35</v>
      </c>
      <c r="H730" s="8">
        <v>53</v>
      </c>
      <c r="I730" s="8">
        <v>70</v>
      </c>
      <c r="V730" s="13"/>
      <c r="W730" s="13"/>
      <c r="X730" s="13"/>
    </row>
    <row r="731" spans="1:24" ht="32" x14ac:dyDescent="0.2">
      <c r="A731" s="9" t="s">
        <v>18</v>
      </c>
      <c r="B731" s="10" t="s">
        <v>738</v>
      </c>
      <c r="C731" s="8">
        <v>27</v>
      </c>
      <c r="D731" s="11" t="s">
        <v>36</v>
      </c>
      <c r="E731" s="12">
        <v>27.01</v>
      </c>
      <c r="F731" s="12">
        <v>729.27</v>
      </c>
      <c r="G731" s="8">
        <v>35</v>
      </c>
      <c r="H731" s="8">
        <v>53</v>
      </c>
      <c r="I731" s="8">
        <v>70</v>
      </c>
      <c r="V731" s="13"/>
      <c r="W731" s="13"/>
      <c r="X731" s="13"/>
    </row>
    <row r="732" spans="1:24" ht="32" x14ac:dyDescent="0.2">
      <c r="A732" s="9" t="s">
        <v>19</v>
      </c>
      <c r="B732" s="10" t="s">
        <v>794</v>
      </c>
      <c r="C732" s="8">
        <v>18</v>
      </c>
      <c r="D732" s="11" t="s">
        <v>36</v>
      </c>
      <c r="E732" s="12">
        <v>30.25</v>
      </c>
      <c r="F732" s="12">
        <v>544.5</v>
      </c>
      <c r="G732" s="8">
        <v>35</v>
      </c>
      <c r="H732" s="8">
        <v>53</v>
      </c>
      <c r="I732" s="8">
        <v>70</v>
      </c>
      <c r="V732" s="13"/>
      <c r="W732" s="13"/>
      <c r="X732" s="13"/>
    </row>
    <row r="733" spans="1:24" ht="32" x14ac:dyDescent="0.2">
      <c r="A733" s="9" t="s">
        <v>20</v>
      </c>
      <c r="B733" s="10" t="s">
        <v>752</v>
      </c>
      <c r="C733" s="8">
        <v>14</v>
      </c>
      <c r="D733" s="11" t="s">
        <v>36</v>
      </c>
      <c r="E733" s="12">
        <v>32.409999999999997</v>
      </c>
      <c r="F733" s="12">
        <v>453.74</v>
      </c>
      <c r="G733" s="8">
        <v>35</v>
      </c>
      <c r="H733" s="8">
        <v>53</v>
      </c>
      <c r="I733" s="8">
        <v>70</v>
      </c>
      <c r="V733" s="13"/>
      <c r="W733" s="13"/>
      <c r="X733" s="13"/>
    </row>
    <row r="734" spans="1:24" ht="32" x14ac:dyDescent="0.2">
      <c r="A734" s="9" t="s">
        <v>21</v>
      </c>
      <c r="B734" s="10" t="s">
        <v>795</v>
      </c>
      <c r="C734" s="8">
        <v>6</v>
      </c>
      <c r="D734" s="11" t="s">
        <v>36</v>
      </c>
      <c r="E734" s="12">
        <v>38.89</v>
      </c>
      <c r="F734" s="12">
        <v>233.34</v>
      </c>
      <c r="G734" s="8">
        <v>35</v>
      </c>
      <c r="H734" s="8">
        <v>53</v>
      </c>
      <c r="I734" s="8">
        <v>70</v>
      </c>
      <c r="V734" s="13"/>
      <c r="W734" s="13"/>
      <c r="X734" s="13"/>
    </row>
    <row r="735" spans="1:24" ht="32" x14ac:dyDescent="0.2">
      <c r="A735" s="9" t="s">
        <v>22</v>
      </c>
      <c r="B735" s="10" t="s">
        <v>796</v>
      </c>
      <c r="C735" s="8">
        <v>14</v>
      </c>
      <c r="D735" s="11" t="s">
        <v>36</v>
      </c>
      <c r="E735" s="12">
        <v>37.81</v>
      </c>
      <c r="F735" s="12">
        <v>529.34</v>
      </c>
      <c r="G735" s="8">
        <v>35</v>
      </c>
      <c r="H735" s="8">
        <v>53</v>
      </c>
      <c r="I735" s="8">
        <v>70</v>
      </c>
      <c r="V735" s="13"/>
      <c r="W735" s="13"/>
      <c r="X735" s="13"/>
    </row>
    <row r="736" spans="1:24" ht="32" x14ac:dyDescent="0.2">
      <c r="A736" s="9" t="s">
        <v>23</v>
      </c>
      <c r="B736" s="10" t="s">
        <v>797</v>
      </c>
      <c r="C736" s="8">
        <v>2</v>
      </c>
      <c r="D736" s="11" t="s">
        <v>36</v>
      </c>
      <c r="E736" s="12">
        <v>37.81</v>
      </c>
      <c r="F736" s="12">
        <v>75.62</v>
      </c>
      <c r="G736" s="8">
        <v>35</v>
      </c>
      <c r="H736" s="8">
        <v>53</v>
      </c>
      <c r="I736" s="8">
        <v>70</v>
      </c>
      <c r="V736" s="13"/>
      <c r="W736" s="13"/>
      <c r="X736" s="13"/>
    </row>
    <row r="737" spans="1:24" ht="32" x14ac:dyDescent="0.2">
      <c r="A737" s="9" t="s">
        <v>24</v>
      </c>
      <c r="B737" s="10" t="s">
        <v>798</v>
      </c>
      <c r="C737" s="8">
        <v>12</v>
      </c>
      <c r="D737" s="11" t="s">
        <v>36</v>
      </c>
      <c r="E737" s="12">
        <v>41.05</v>
      </c>
      <c r="F737" s="12">
        <v>492.6</v>
      </c>
      <c r="G737" s="8">
        <v>35</v>
      </c>
      <c r="H737" s="8">
        <v>53</v>
      </c>
      <c r="I737" s="8">
        <v>70</v>
      </c>
      <c r="V737" s="13"/>
      <c r="W737" s="13"/>
      <c r="X737" s="13"/>
    </row>
    <row r="738" spans="1:24" ht="32" x14ac:dyDescent="0.2">
      <c r="A738" s="9" t="s">
        <v>25</v>
      </c>
      <c r="B738" s="10" t="s">
        <v>799</v>
      </c>
      <c r="C738" s="8">
        <v>1</v>
      </c>
      <c r="D738" s="11" t="s">
        <v>36</v>
      </c>
      <c r="E738" s="12">
        <v>49.69</v>
      </c>
      <c r="F738" s="12">
        <v>49.69</v>
      </c>
      <c r="G738" s="8">
        <v>35</v>
      </c>
      <c r="H738" s="8">
        <v>53</v>
      </c>
      <c r="I738" s="8">
        <v>70</v>
      </c>
      <c r="V738" s="13"/>
      <c r="W738" s="13"/>
      <c r="X738" s="13"/>
    </row>
    <row r="739" spans="1:24" ht="32" x14ac:dyDescent="0.2">
      <c r="A739" s="9" t="s">
        <v>26</v>
      </c>
      <c r="B739" s="10" t="s">
        <v>800</v>
      </c>
      <c r="C739" s="8">
        <v>7</v>
      </c>
      <c r="D739" s="11" t="s">
        <v>36</v>
      </c>
      <c r="E739" s="12">
        <v>37.81</v>
      </c>
      <c r="F739" s="12">
        <v>264.67</v>
      </c>
      <c r="G739" s="8">
        <v>35</v>
      </c>
      <c r="H739" s="8">
        <v>53</v>
      </c>
      <c r="I739" s="8">
        <v>70</v>
      </c>
      <c r="V739" s="13"/>
      <c r="W739" s="13"/>
      <c r="X739" s="13"/>
    </row>
    <row r="740" spans="1:24" ht="32" x14ac:dyDescent="0.2">
      <c r="A740" s="9" t="s">
        <v>27</v>
      </c>
      <c r="B740" s="10" t="s">
        <v>801</v>
      </c>
      <c r="C740" s="8">
        <v>5</v>
      </c>
      <c r="D740" s="11" t="s">
        <v>36</v>
      </c>
      <c r="E740" s="12">
        <v>41.05</v>
      </c>
      <c r="F740" s="12">
        <v>205.25</v>
      </c>
      <c r="G740" s="8">
        <v>35</v>
      </c>
      <c r="H740" s="8">
        <v>53</v>
      </c>
      <c r="I740" s="8">
        <v>70</v>
      </c>
      <c r="V740" s="13"/>
      <c r="W740" s="13"/>
      <c r="X740" s="13"/>
    </row>
    <row r="741" spans="1:24" ht="48" x14ac:dyDescent="0.2">
      <c r="A741" s="9" t="s">
        <v>28</v>
      </c>
      <c r="B741" s="10" t="s">
        <v>802</v>
      </c>
      <c r="C741" s="8">
        <v>5</v>
      </c>
      <c r="D741" s="11" t="s">
        <v>36</v>
      </c>
      <c r="E741" s="12">
        <v>237.65</v>
      </c>
      <c r="F741" s="12">
        <v>1188.25</v>
      </c>
      <c r="G741" s="8">
        <v>35</v>
      </c>
      <c r="H741" s="8">
        <v>53</v>
      </c>
      <c r="I741" s="8">
        <v>70</v>
      </c>
      <c r="V741" s="13"/>
      <c r="W741" s="13"/>
      <c r="X741" s="13"/>
    </row>
    <row r="742" spans="1:24" ht="48" x14ac:dyDescent="0.2">
      <c r="A742" s="9" t="s">
        <v>29</v>
      </c>
      <c r="B742" s="10" t="s">
        <v>803</v>
      </c>
      <c r="C742" s="8">
        <v>2</v>
      </c>
      <c r="D742" s="11" t="s">
        <v>36</v>
      </c>
      <c r="E742" s="12">
        <v>118.83</v>
      </c>
      <c r="F742" s="12">
        <v>237.66</v>
      </c>
      <c r="G742" s="8">
        <v>35</v>
      </c>
      <c r="H742" s="8">
        <v>53</v>
      </c>
      <c r="I742" s="8">
        <v>70</v>
      </c>
      <c r="V742" s="13"/>
      <c r="W742" s="13"/>
      <c r="X742" s="13"/>
    </row>
    <row r="743" spans="1:24" ht="32" x14ac:dyDescent="0.2">
      <c r="A743" s="9" t="s">
        <v>30</v>
      </c>
      <c r="B743" s="10" t="s">
        <v>804</v>
      </c>
      <c r="C743" s="8">
        <v>37</v>
      </c>
      <c r="D743" s="11" t="s">
        <v>36</v>
      </c>
      <c r="E743" s="12">
        <v>48.61</v>
      </c>
      <c r="F743" s="12">
        <v>1798.57</v>
      </c>
      <c r="G743" s="8">
        <v>35</v>
      </c>
      <c r="H743" s="8">
        <v>53</v>
      </c>
      <c r="I743" s="8">
        <v>70</v>
      </c>
      <c r="V743" s="13"/>
      <c r="W743" s="13"/>
      <c r="X743" s="13"/>
    </row>
    <row r="744" spans="1:24" ht="32" x14ac:dyDescent="0.2">
      <c r="A744" s="9" t="s">
        <v>31</v>
      </c>
      <c r="B744" s="10" t="s">
        <v>805</v>
      </c>
      <c r="C744" s="8">
        <v>37</v>
      </c>
      <c r="D744" s="11" t="s">
        <v>36</v>
      </c>
      <c r="E744" s="12">
        <v>31.33</v>
      </c>
      <c r="F744" s="12">
        <v>1159.21</v>
      </c>
      <c r="G744" s="8">
        <v>35</v>
      </c>
      <c r="H744" s="8">
        <v>53</v>
      </c>
      <c r="I744" s="8">
        <v>70</v>
      </c>
      <c r="V744" s="13"/>
      <c r="W744" s="13"/>
      <c r="X744" s="13"/>
    </row>
    <row r="745" spans="1:24" ht="32" x14ac:dyDescent="0.2">
      <c r="A745" s="9" t="s">
        <v>90</v>
      </c>
      <c r="B745" s="10" t="s">
        <v>806</v>
      </c>
      <c r="C745" s="8">
        <v>10</v>
      </c>
      <c r="D745" s="11" t="s">
        <v>36</v>
      </c>
      <c r="E745" s="12">
        <v>253.86</v>
      </c>
      <c r="F745" s="12">
        <v>2538.6</v>
      </c>
      <c r="G745" s="8">
        <v>500</v>
      </c>
      <c r="H745" s="8">
        <v>750</v>
      </c>
      <c r="I745" s="8">
        <v>1000</v>
      </c>
      <c r="V745" s="13"/>
      <c r="W745" s="13"/>
      <c r="X745" s="13"/>
    </row>
    <row r="746" spans="1:24" ht="32" x14ac:dyDescent="0.2">
      <c r="A746" s="9" t="s">
        <v>6</v>
      </c>
      <c r="B746" s="10" t="s">
        <v>807</v>
      </c>
      <c r="C746" s="8">
        <v>62</v>
      </c>
      <c r="D746" s="11" t="s">
        <v>34</v>
      </c>
      <c r="E746" s="12">
        <v>1.08</v>
      </c>
      <c r="F746" s="12">
        <v>66.959999999999994</v>
      </c>
      <c r="G746" s="8">
        <v>1</v>
      </c>
      <c r="H746" s="8">
        <v>1</v>
      </c>
      <c r="I746" s="8">
        <v>1</v>
      </c>
      <c r="V746" s="13"/>
      <c r="W746" s="13"/>
      <c r="X746" s="13"/>
    </row>
    <row r="747" spans="1:24" ht="32" x14ac:dyDescent="0.2">
      <c r="A747" s="9" t="s">
        <v>9</v>
      </c>
      <c r="B747" s="10" t="s">
        <v>808</v>
      </c>
      <c r="C747" s="8">
        <v>1</v>
      </c>
      <c r="D747" s="11" t="s">
        <v>36</v>
      </c>
      <c r="E747" s="12">
        <v>1528.54</v>
      </c>
      <c r="F747" s="12">
        <v>1528.54</v>
      </c>
      <c r="G747" s="8">
        <v>50</v>
      </c>
      <c r="H747" s="8">
        <v>50</v>
      </c>
      <c r="I747" s="8">
        <v>50</v>
      </c>
      <c r="J747" s="55">
        <f>0.15*1.2*3.14*1.25</f>
        <v>0.70650000000000002</v>
      </c>
      <c r="V747" s="13"/>
      <c r="W747" s="13"/>
      <c r="X747" s="13"/>
    </row>
    <row r="748" spans="1:24" ht="32" x14ac:dyDescent="0.2">
      <c r="A748" s="9" t="s">
        <v>10</v>
      </c>
      <c r="B748" s="10" t="s">
        <v>809</v>
      </c>
      <c r="C748" s="8">
        <v>2</v>
      </c>
      <c r="D748" s="11" t="s">
        <v>36</v>
      </c>
      <c r="E748" s="12">
        <v>1701.38</v>
      </c>
      <c r="F748" s="12">
        <v>3402.76</v>
      </c>
      <c r="G748" s="8">
        <v>50</v>
      </c>
      <c r="H748" s="8">
        <v>50</v>
      </c>
      <c r="I748" s="8">
        <v>50</v>
      </c>
      <c r="J748" s="55">
        <f>0.15*3.14*1.2*1.5*2</f>
        <v>1.6955999999999998</v>
      </c>
      <c r="V748" s="13"/>
      <c r="W748" s="13"/>
      <c r="X748" s="13"/>
    </row>
    <row r="749" spans="1:24" ht="32" x14ac:dyDescent="0.2">
      <c r="A749" s="9" t="s">
        <v>11</v>
      </c>
      <c r="B749" s="10" t="s">
        <v>810</v>
      </c>
      <c r="C749" s="8">
        <v>2</v>
      </c>
      <c r="D749" s="11" t="s">
        <v>36</v>
      </c>
      <c r="E749" s="12">
        <v>1824.53</v>
      </c>
      <c r="F749" s="12">
        <v>3649.06</v>
      </c>
      <c r="G749" s="8">
        <v>50</v>
      </c>
      <c r="H749" s="8">
        <v>50</v>
      </c>
      <c r="I749" s="8">
        <v>50</v>
      </c>
      <c r="J749" s="55">
        <f>0.15*1.2*3.14*1.75*2</f>
        <v>1.9782000000000002</v>
      </c>
      <c r="V749" s="13"/>
      <c r="W749" s="13"/>
      <c r="X749" s="13"/>
    </row>
    <row r="750" spans="1:24" ht="32" x14ac:dyDescent="0.2">
      <c r="A750" s="9" t="s">
        <v>12</v>
      </c>
      <c r="B750" s="10" t="s">
        <v>811</v>
      </c>
      <c r="C750" s="8">
        <v>2</v>
      </c>
      <c r="D750" s="11" t="s">
        <v>36</v>
      </c>
      <c r="E750" s="12">
        <v>1993.05</v>
      </c>
      <c r="F750" s="12">
        <v>3986.1</v>
      </c>
      <c r="G750" s="8">
        <v>50</v>
      </c>
      <c r="H750" s="8">
        <v>50</v>
      </c>
      <c r="I750" s="8">
        <v>50</v>
      </c>
      <c r="J750" s="55">
        <f>0.15*1.2*3.14*2*2</f>
        <v>2.2608000000000001</v>
      </c>
      <c r="V750" s="13"/>
      <c r="W750" s="13"/>
      <c r="X750" s="13"/>
    </row>
    <row r="751" spans="1:24" ht="32" x14ac:dyDescent="0.2">
      <c r="A751" s="9" t="s">
        <v>13</v>
      </c>
      <c r="B751" s="10" t="s">
        <v>812</v>
      </c>
      <c r="C751" s="8">
        <v>1</v>
      </c>
      <c r="D751" s="11" t="s">
        <v>36</v>
      </c>
      <c r="E751" s="12">
        <v>324.07</v>
      </c>
      <c r="F751" s="12">
        <v>324.07</v>
      </c>
      <c r="V751" s="13"/>
      <c r="W751" s="13"/>
      <c r="X751" s="13"/>
    </row>
    <row r="752" spans="1:24" ht="32" x14ac:dyDescent="0.2">
      <c r="A752" s="9" t="s">
        <v>14</v>
      </c>
      <c r="B752" s="10" t="s">
        <v>813</v>
      </c>
      <c r="C752" s="8">
        <v>1</v>
      </c>
      <c r="D752" s="11" t="s">
        <v>36</v>
      </c>
      <c r="E752" s="12">
        <v>378.08</v>
      </c>
      <c r="F752" s="12">
        <v>378.08</v>
      </c>
      <c r="V752" s="13"/>
      <c r="W752" s="13"/>
      <c r="X752" s="13"/>
    </row>
    <row r="753" spans="1:24" ht="16" x14ac:dyDescent="0.2">
      <c r="A753" s="9" t="s">
        <v>15</v>
      </c>
      <c r="B753" s="10" t="s">
        <v>89</v>
      </c>
      <c r="C753" s="8">
        <v>10</v>
      </c>
      <c r="D753" s="11" t="s">
        <v>36</v>
      </c>
      <c r="E753" s="12">
        <v>480.71</v>
      </c>
      <c r="F753" s="12">
        <v>4807.1000000000004</v>
      </c>
      <c r="G753" s="8">
        <v>50</v>
      </c>
      <c r="H753" s="8">
        <v>50</v>
      </c>
      <c r="I753" s="8">
        <v>50</v>
      </c>
      <c r="V753" s="13"/>
      <c r="W753" s="13"/>
      <c r="X753" s="13"/>
    </row>
    <row r="754" spans="1:24" ht="16" x14ac:dyDescent="0.2">
      <c r="A754" s="9" t="s">
        <v>16</v>
      </c>
      <c r="B754" s="10" t="s">
        <v>91</v>
      </c>
      <c r="C754" s="8">
        <v>3</v>
      </c>
      <c r="D754" s="11" t="s">
        <v>36</v>
      </c>
      <c r="E754" s="12">
        <v>556.32000000000005</v>
      </c>
      <c r="F754" s="12">
        <v>1668.96</v>
      </c>
      <c r="G754" s="8">
        <v>50</v>
      </c>
      <c r="H754" s="8">
        <v>50</v>
      </c>
      <c r="I754" s="8">
        <v>50</v>
      </c>
      <c r="V754" s="13"/>
      <c r="W754" s="13"/>
      <c r="X754" s="13"/>
    </row>
    <row r="755" spans="1:24" ht="16" x14ac:dyDescent="0.2">
      <c r="A755" s="9" t="s">
        <v>17</v>
      </c>
      <c r="B755" s="10" t="s">
        <v>92</v>
      </c>
      <c r="C755" s="8">
        <v>1</v>
      </c>
      <c r="D755" s="11" t="s">
        <v>36</v>
      </c>
      <c r="E755" s="12">
        <v>658.95</v>
      </c>
      <c r="F755" s="12">
        <v>658.95</v>
      </c>
      <c r="G755" s="8">
        <v>50</v>
      </c>
      <c r="H755" s="8">
        <v>50</v>
      </c>
      <c r="I755" s="8">
        <v>50</v>
      </c>
      <c r="V755" s="13"/>
      <c r="W755" s="13"/>
      <c r="X755" s="13"/>
    </row>
    <row r="756" spans="1:24" ht="32" x14ac:dyDescent="0.2">
      <c r="A756" s="9" t="s">
        <v>6</v>
      </c>
      <c r="B756" s="10" t="s">
        <v>93</v>
      </c>
      <c r="C756" s="8">
        <v>0</v>
      </c>
      <c r="D756" s="11" t="s">
        <v>5</v>
      </c>
      <c r="E756" s="12">
        <v>0</v>
      </c>
      <c r="F756" s="12">
        <v>0</v>
      </c>
      <c r="V756" s="13"/>
      <c r="W756" s="13"/>
      <c r="X756" s="13"/>
    </row>
    <row r="757" spans="1:24" ht="16" x14ac:dyDescent="0.2">
      <c r="A757" s="9" t="s">
        <v>6</v>
      </c>
      <c r="B757" s="10" t="s">
        <v>764</v>
      </c>
      <c r="C757" s="8">
        <v>1</v>
      </c>
      <c r="D757" s="11" t="s">
        <v>7</v>
      </c>
      <c r="E757" s="12">
        <v>810.18</v>
      </c>
      <c r="F757" s="12">
        <v>810.18</v>
      </c>
      <c r="G757" s="8">
        <v>1</v>
      </c>
      <c r="H757" s="8">
        <v>1</v>
      </c>
      <c r="I757" s="8">
        <v>1</v>
      </c>
      <c r="V757" s="13"/>
      <c r="W757" s="13"/>
      <c r="X757" s="13"/>
    </row>
    <row r="758" spans="1:24" ht="16" x14ac:dyDescent="0.2">
      <c r="A758" s="9" t="s">
        <v>9</v>
      </c>
      <c r="B758" s="10" t="s">
        <v>765</v>
      </c>
      <c r="C758" s="8">
        <v>1</v>
      </c>
      <c r="D758" s="11" t="s">
        <v>7</v>
      </c>
      <c r="E758" s="12">
        <v>378.08</v>
      </c>
      <c r="F758" s="12">
        <v>378.08</v>
      </c>
      <c r="G758" s="8">
        <v>1</v>
      </c>
      <c r="H758" s="8">
        <v>1</v>
      </c>
      <c r="I758" s="8">
        <v>1</v>
      </c>
      <c r="V758" s="13"/>
      <c r="W758" s="13"/>
      <c r="X758" s="13"/>
    </row>
    <row r="759" spans="1:24" ht="16" x14ac:dyDescent="0.2">
      <c r="A759" s="9" t="s">
        <v>10</v>
      </c>
      <c r="B759" s="10" t="s">
        <v>766</v>
      </c>
      <c r="C759" s="8">
        <v>1</v>
      </c>
      <c r="D759" s="11" t="s">
        <v>7</v>
      </c>
      <c r="E759" s="12">
        <v>324.07</v>
      </c>
      <c r="F759" s="12">
        <v>324.07</v>
      </c>
      <c r="G759" s="8">
        <v>1</v>
      </c>
      <c r="H759" s="8">
        <v>1</v>
      </c>
      <c r="I759" s="8">
        <v>1</v>
      </c>
      <c r="V759" s="13"/>
      <c r="W759" s="13"/>
      <c r="X759" s="13"/>
    </row>
    <row r="760" spans="1:24" ht="16" x14ac:dyDescent="0.2">
      <c r="A760" s="9" t="s">
        <v>11</v>
      </c>
      <c r="B760" s="10" t="s">
        <v>767</v>
      </c>
      <c r="C760" s="8">
        <v>1</v>
      </c>
      <c r="D760" s="11" t="s">
        <v>7</v>
      </c>
      <c r="E760" s="12">
        <v>270.06</v>
      </c>
      <c r="F760" s="12">
        <v>270.06</v>
      </c>
      <c r="G760" s="8">
        <v>1</v>
      </c>
      <c r="H760" s="8">
        <v>1</v>
      </c>
      <c r="I760" s="8">
        <v>1</v>
      </c>
      <c r="V760" s="13"/>
      <c r="W760" s="13"/>
      <c r="X760" s="13"/>
    </row>
    <row r="761" spans="1:24" ht="16" x14ac:dyDescent="0.2">
      <c r="A761" s="9" t="s">
        <v>12</v>
      </c>
      <c r="B761" s="10" t="s">
        <v>768</v>
      </c>
      <c r="C761" s="8">
        <v>1</v>
      </c>
      <c r="D761" s="11" t="s">
        <v>7</v>
      </c>
      <c r="E761" s="12">
        <v>199.84</v>
      </c>
      <c r="F761" s="12">
        <v>199.84</v>
      </c>
      <c r="G761" s="8">
        <v>1</v>
      </c>
      <c r="H761" s="8">
        <v>1</v>
      </c>
      <c r="I761" s="8">
        <v>1</v>
      </c>
      <c r="V761" s="13"/>
      <c r="W761" s="13"/>
      <c r="X761" s="13"/>
    </row>
    <row r="762" spans="1:24" ht="16" x14ac:dyDescent="0.2">
      <c r="A762" s="9" t="s">
        <v>6</v>
      </c>
      <c r="B762" s="10" t="s">
        <v>78</v>
      </c>
      <c r="C762" s="8">
        <v>0</v>
      </c>
      <c r="D762" s="11" t="s">
        <v>33</v>
      </c>
      <c r="E762" s="12">
        <v>0</v>
      </c>
      <c r="F762" s="12">
        <v>0</v>
      </c>
      <c r="V762" s="13"/>
      <c r="W762" s="13"/>
      <c r="X762" s="13"/>
    </row>
    <row r="763" spans="1:24" ht="16" x14ac:dyDescent="0.2">
      <c r="A763" s="9" t="s">
        <v>9</v>
      </c>
      <c r="B763" s="10" t="s">
        <v>79</v>
      </c>
      <c r="C763" s="8">
        <v>0</v>
      </c>
      <c r="D763" s="11" t="s">
        <v>33</v>
      </c>
      <c r="E763" s="12">
        <v>0</v>
      </c>
      <c r="F763" s="12">
        <v>0</v>
      </c>
      <c r="V763" s="13"/>
      <c r="W763" s="13"/>
      <c r="X763" s="13"/>
    </row>
    <row r="764" spans="1:24" ht="16" x14ac:dyDescent="0.2">
      <c r="A764" s="9" t="s">
        <v>10</v>
      </c>
      <c r="B764" s="10" t="s">
        <v>80</v>
      </c>
      <c r="C764" s="8">
        <v>0</v>
      </c>
      <c r="D764" s="11" t="s">
        <v>33</v>
      </c>
      <c r="E764" s="12">
        <v>0</v>
      </c>
      <c r="F764" s="12">
        <v>0</v>
      </c>
      <c r="V764" s="13"/>
      <c r="W764" s="13"/>
      <c r="X764" s="13"/>
    </row>
    <row r="765" spans="1:24" ht="16" x14ac:dyDescent="0.2">
      <c r="A765" s="9" t="s">
        <v>11</v>
      </c>
      <c r="B765" s="10" t="s">
        <v>81</v>
      </c>
      <c r="C765" s="8">
        <v>0</v>
      </c>
      <c r="D765" s="11" t="s">
        <v>33</v>
      </c>
      <c r="E765" s="12">
        <v>0</v>
      </c>
      <c r="F765" s="12">
        <v>0</v>
      </c>
      <c r="V765" s="13"/>
      <c r="W765" s="13"/>
      <c r="X765" s="13"/>
    </row>
    <row r="766" spans="1:24" ht="48" x14ac:dyDescent="0.2">
      <c r="A766" s="9" t="s">
        <v>12</v>
      </c>
      <c r="B766" s="10" t="s">
        <v>82</v>
      </c>
      <c r="C766" s="8">
        <v>0</v>
      </c>
      <c r="D766" s="11" t="s">
        <v>33</v>
      </c>
      <c r="E766" s="12">
        <v>0</v>
      </c>
      <c r="F766" s="12">
        <v>0</v>
      </c>
      <c r="V766" s="13"/>
      <c r="W766" s="13"/>
      <c r="X766" s="13"/>
    </row>
    <row r="767" spans="1:24" ht="32" x14ac:dyDescent="0.2">
      <c r="A767" s="9" t="s">
        <v>13</v>
      </c>
      <c r="B767" s="10" t="s">
        <v>83</v>
      </c>
      <c r="C767" s="8">
        <v>0</v>
      </c>
      <c r="D767" s="11" t="s">
        <v>34</v>
      </c>
      <c r="E767" s="12">
        <v>0</v>
      </c>
      <c r="F767" s="12">
        <v>0</v>
      </c>
      <c r="V767" s="13"/>
      <c r="W767" s="13"/>
      <c r="X767" s="13"/>
    </row>
    <row r="768" spans="1:24" ht="32" x14ac:dyDescent="0.2">
      <c r="A768" s="9" t="s">
        <v>14</v>
      </c>
      <c r="B768" s="10" t="s">
        <v>84</v>
      </c>
      <c r="C768" s="8">
        <v>0</v>
      </c>
      <c r="D768" s="11" t="s">
        <v>36</v>
      </c>
      <c r="E768" s="12">
        <v>0</v>
      </c>
      <c r="F768" s="12">
        <v>0</v>
      </c>
      <c r="V768" s="13"/>
      <c r="W768" s="13"/>
      <c r="X768" s="13"/>
    </row>
    <row r="769" spans="1:24" ht="16" x14ac:dyDescent="0.2">
      <c r="A769" s="9" t="s">
        <v>6</v>
      </c>
      <c r="B769" s="10" t="s">
        <v>94</v>
      </c>
      <c r="C769" s="8">
        <v>1</v>
      </c>
      <c r="D769" s="11" t="s">
        <v>7</v>
      </c>
      <c r="E769" s="12">
        <v>0</v>
      </c>
      <c r="F769" s="12">
        <v>0</v>
      </c>
      <c r="V769" s="13"/>
      <c r="W769" s="13"/>
      <c r="X769" s="13"/>
    </row>
    <row r="770" spans="1:24" ht="16" x14ac:dyDescent="0.2">
      <c r="A770" s="9" t="s">
        <v>9</v>
      </c>
      <c r="B770" s="10" t="s">
        <v>8</v>
      </c>
      <c r="C770" s="8">
        <v>1</v>
      </c>
      <c r="D770" s="11" t="s">
        <v>7</v>
      </c>
      <c r="E770" s="12">
        <v>0</v>
      </c>
      <c r="F770" s="12">
        <v>0</v>
      </c>
      <c r="V770" s="13"/>
      <c r="W770" s="13"/>
      <c r="X770" s="13"/>
    </row>
    <row r="771" spans="1:24" ht="48" x14ac:dyDescent="0.2">
      <c r="A771" s="9" t="s">
        <v>10</v>
      </c>
      <c r="B771" s="10" t="s">
        <v>814</v>
      </c>
      <c r="C771" s="8">
        <v>116</v>
      </c>
      <c r="D771" s="11" t="s">
        <v>34</v>
      </c>
      <c r="E771" s="12">
        <v>38.89</v>
      </c>
      <c r="F771" s="12">
        <v>4511.24</v>
      </c>
      <c r="G771" s="8">
        <v>500</v>
      </c>
      <c r="H771" s="8">
        <v>750</v>
      </c>
      <c r="I771" s="8">
        <v>1000</v>
      </c>
      <c r="J771" s="55">
        <f>C771*0.2*1.25</f>
        <v>29.000000000000004</v>
      </c>
      <c r="K771" s="13">
        <v>2050</v>
      </c>
      <c r="L771" s="13" t="s">
        <v>108</v>
      </c>
      <c r="N771" s="13">
        <v>2.4E-2</v>
      </c>
      <c r="O771" s="13">
        <v>2.4E-2</v>
      </c>
      <c r="P771" s="13">
        <v>2.4E-2</v>
      </c>
      <c r="R771" s="8">
        <f>N771*K771*J771</f>
        <v>1426.8000000000002</v>
      </c>
      <c r="S771" s="8">
        <f>O771*K771*J771</f>
        <v>1426.8000000000002</v>
      </c>
      <c r="T771" s="8">
        <f>P771*K771*J771</f>
        <v>1426.8000000000002</v>
      </c>
      <c r="V771" s="13">
        <v>0.15</v>
      </c>
      <c r="W771" s="13">
        <v>0.45</v>
      </c>
      <c r="X771" s="13">
        <v>0.73</v>
      </c>
    </row>
    <row r="772" spans="1:24" ht="80" x14ac:dyDescent="0.2">
      <c r="A772" s="9" t="s">
        <v>11</v>
      </c>
      <c r="B772" s="10" t="s">
        <v>815</v>
      </c>
      <c r="C772" s="8">
        <v>12</v>
      </c>
      <c r="D772" s="11" t="s">
        <v>34</v>
      </c>
      <c r="E772" s="12">
        <v>156.63999999999999</v>
      </c>
      <c r="F772" s="12">
        <v>1879.68</v>
      </c>
      <c r="G772" s="8">
        <v>500</v>
      </c>
      <c r="H772" s="8">
        <v>750</v>
      </c>
      <c r="I772" s="8">
        <v>1000</v>
      </c>
      <c r="V772" s="13"/>
      <c r="W772" s="13"/>
      <c r="X772" s="13"/>
    </row>
    <row r="773" spans="1:24" ht="48" x14ac:dyDescent="0.2">
      <c r="A773" s="9" t="s">
        <v>12</v>
      </c>
      <c r="B773" s="10" t="s">
        <v>816</v>
      </c>
      <c r="C773" s="8">
        <v>136</v>
      </c>
      <c r="D773" s="11" t="s">
        <v>34</v>
      </c>
      <c r="E773" s="12">
        <v>38.89</v>
      </c>
      <c r="F773" s="12">
        <v>5289.04</v>
      </c>
      <c r="G773" s="8">
        <v>500</v>
      </c>
      <c r="H773" s="8">
        <v>750</v>
      </c>
      <c r="I773" s="8">
        <v>1000</v>
      </c>
      <c r="J773" s="55">
        <f>C773*0.2*1.25</f>
        <v>34</v>
      </c>
      <c r="K773" s="13">
        <v>2050</v>
      </c>
      <c r="L773" s="13" t="s">
        <v>108</v>
      </c>
      <c r="N773" s="13">
        <v>2.4E-2</v>
      </c>
      <c r="O773" s="13">
        <v>2.4E-2</v>
      </c>
      <c r="P773" s="13">
        <v>2.4E-2</v>
      </c>
      <c r="R773" s="8">
        <f t="shared" ref="R773" si="223">N773*K773*J773</f>
        <v>1672.8000000000002</v>
      </c>
      <c r="S773" s="8">
        <f t="shared" ref="S773" si="224">O773*K773*J773</f>
        <v>1672.8000000000002</v>
      </c>
      <c r="T773" s="8">
        <f t="shared" ref="T773" si="225">P773*K773*J773</f>
        <v>1672.8000000000002</v>
      </c>
      <c r="V773" s="13">
        <v>0.15</v>
      </c>
      <c r="W773" s="13">
        <v>0.45</v>
      </c>
      <c r="X773" s="13">
        <v>0.73</v>
      </c>
    </row>
    <row r="774" spans="1:24" ht="64" x14ac:dyDescent="0.2">
      <c r="A774" s="9" t="s">
        <v>13</v>
      </c>
      <c r="B774" s="10" t="s">
        <v>817</v>
      </c>
      <c r="C774" s="8">
        <v>7</v>
      </c>
      <c r="D774" s="11" t="s">
        <v>34</v>
      </c>
      <c r="E774" s="12">
        <v>156.63999999999999</v>
      </c>
      <c r="F774" s="12">
        <v>1096.48</v>
      </c>
      <c r="G774" s="8">
        <v>500</v>
      </c>
      <c r="H774" s="8">
        <v>750</v>
      </c>
      <c r="I774" s="8">
        <v>1000</v>
      </c>
      <c r="V774" s="13"/>
      <c r="W774" s="13"/>
      <c r="X774" s="13"/>
    </row>
    <row r="775" spans="1:24" ht="48" x14ac:dyDescent="0.2">
      <c r="A775" s="9" t="s">
        <v>14</v>
      </c>
      <c r="B775" s="10" t="s">
        <v>818</v>
      </c>
      <c r="C775" s="8">
        <v>1</v>
      </c>
      <c r="D775" s="11" t="s">
        <v>7</v>
      </c>
      <c r="E775" s="12">
        <v>199.84</v>
      </c>
      <c r="F775" s="12">
        <v>199.84</v>
      </c>
      <c r="G775" s="8">
        <v>1</v>
      </c>
      <c r="H775" s="8">
        <v>1</v>
      </c>
      <c r="I775" s="8">
        <v>1</v>
      </c>
      <c r="V775" s="13"/>
      <c r="W775" s="13"/>
      <c r="X775" s="13"/>
    </row>
    <row r="776" spans="1:24" ht="48" x14ac:dyDescent="0.2">
      <c r="A776" s="9" t="s">
        <v>15</v>
      </c>
      <c r="B776" s="10" t="s">
        <v>819</v>
      </c>
      <c r="C776" s="8">
        <v>116</v>
      </c>
      <c r="D776" s="11" t="s">
        <v>34</v>
      </c>
      <c r="E776" s="12">
        <v>12.96</v>
      </c>
      <c r="F776" s="12">
        <v>1503.36</v>
      </c>
      <c r="G776" s="8">
        <v>500</v>
      </c>
      <c r="H776" s="8">
        <v>750</v>
      </c>
      <c r="I776" s="8">
        <v>1000</v>
      </c>
      <c r="J776" s="55">
        <f>C776*0.1*0.1</f>
        <v>1.1600000000000001</v>
      </c>
      <c r="K776" s="13">
        <v>2050</v>
      </c>
      <c r="L776" s="13" t="s">
        <v>108</v>
      </c>
      <c r="N776" s="13">
        <v>2.4E-2</v>
      </c>
      <c r="O776" s="13">
        <v>2.4E-2</v>
      </c>
      <c r="P776" s="13">
        <v>2.4E-2</v>
      </c>
      <c r="R776" s="8">
        <f t="shared" ref="R776:R777" si="226">N776*K776*J776</f>
        <v>57.07200000000001</v>
      </c>
      <c r="S776" s="8">
        <f t="shared" ref="S776:S777" si="227">O776*K776*J776</f>
        <v>57.07200000000001</v>
      </c>
      <c r="T776" s="8">
        <f t="shared" ref="T776:T777" si="228">P776*K776*J776</f>
        <v>57.07200000000001</v>
      </c>
      <c r="V776" s="13">
        <v>0.15</v>
      </c>
      <c r="W776" s="13">
        <v>0.45</v>
      </c>
      <c r="X776" s="13">
        <v>0.73</v>
      </c>
    </row>
    <row r="777" spans="1:24" ht="48" x14ac:dyDescent="0.2">
      <c r="A777" s="9" t="s">
        <v>6</v>
      </c>
      <c r="B777" s="10" t="s">
        <v>820</v>
      </c>
      <c r="C777" s="8">
        <v>136</v>
      </c>
      <c r="D777" s="11" t="s">
        <v>34</v>
      </c>
      <c r="E777" s="12">
        <v>12.96</v>
      </c>
      <c r="F777" s="12">
        <v>1762.56</v>
      </c>
      <c r="G777" s="8">
        <v>500</v>
      </c>
      <c r="H777" s="8">
        <v>750</v>
      </c>
      <c r="I777" s="8">
        <v>1000</v>
      </c>
      <c r="J777" s="55">
        <f>C777*0.1*0.1</f>
        <v>1.3600000000000003</v>
      </c>
      <c r="K777" s="13">
        <v>2050</v>
      </c>
      <c r="L777" s="13" t="s">
        <v>108</v>
      </c>
      <c r="N777" s="13">
        <v>2.4E-2</v>
      </c>
      <c r="O777" s="13">
        <v>2.4E-2</v>
      </c>
      <c r="P777" s="13">
        <v>2.4E-2</v>
      </c>
      <c r="R777" s="8">
        <f t="shared" si="226"/>
        <v>66.91200000000002</v>
      </c>
      <c r="S777" s="8">
        <f t="shared" si="227"/>
        <v>66.91200000000002</v>
      </c>
      <c r="T777" s="8">
        <f t="shared" si="228"/>
        <v>66.91200000000002</v>
      </c>
      <c r="V777" s="13">
        <v>0.15</v>
      </c>
      <c r="W777" s="13">
        <v>0.45</v>
      </c>
      <c r="X777" s="13">
        <v>0.73</v>
      </c>
    </row>
    <row r="778" spans="1:24" ht="32" x14ac:dyDescent="0.2">
      <c r="A778" s="9" t="s">
        <v>9</v>
      </c>
      <c r="B778" s="10" t="s">
        <v>821</v>
      </c>
      <c r="C778" s="8">
        <v>116</v>
      </c>
      <c r="D778" s="11" t="s">
        <v>34</v>
      </c>
      <c r="E778" s="12">
        <v>8.64</v>
      </c>
      <c r="F778" s="12">
        <v>1002.24</v>
      </c>
      <c r="G778" s="8">
        <v>18</v>
      </c>
      <c r="H778" s="8">
        <v>24</v>
      </c>
      <c r="I778" s="8">
        <v>34</v>
      </c>
      <c r="J778" s="55">
        <f>C778*3.14*0.063*0.005</f>
        <v>0.11473560000000001</v>
      </c>
      <c r="K778" s="8">
        <v>940</v>
      </c>
      <c r="N778" s="13">
        <v>2.54</v>
      </c>
      <c r="O778" s="13">
        <v>2.54</v>
      </c>
      <c r="P778" s="13">
        <v>2.54</v>
      </c>
      <c r="R778" s="8">
        <f t="shared" ref="R778:R779" si="229">N778*K778*J778</f>
        <v>273.94271856</v>
      </c>
      <c r="S778" s="8">
        <f t="shared" ref="S778:S779" si="230">O778*K778*J778</f>
        <v>273.94271856</v>
      </c>
      <c r="T778" s="8">
        <f t="shared" ref="T778:T779" si="231">P778*K778*J778</f>
        <v>273.94271856</v>
      </c>
      <c r="V778" s="13">
        <v>58.17</v>
      </c>
      <c r="W778" s="13">
        <v>83.1</v>
      </c>
      <c r="X778" s="13">
        <v>108.03</v>
      </c>
    </row>
    <row r="779" spans="1:24" ht="32" x14ac:dyDescent="0.2">
      <c r="A779" s="9" t="s">
        <v>10</v>
      </c>
      <c r="B779" s="10" t="s">
        <v>822</v>
      </c>
      <c r="C779" s="8">
        <v>136</v>
      </c>
      <c r="D779" s="11" t="s">
        <v>34</v>
      </c>
      <c r="E779" s="12">
        <v>8.64</v>
      </c>
      <c r="F779" s="12">
        <v>1175.04</v>
      </c>
      <c r="G779" s="8">
        <v>18</v>
      </c>
      <c r="H779" s="8">
        <v>24</v>
      </c>
      <c r="I779" s="8">
        <v>34</v>
      </c>
      <c r="J779" s="55">
        <f>C779*0.063*3.14*0.005</f>
        <v>0.13451760000000001</v>
      </c>
      <c r="K779" s="8">
        <v>940</v>
      </c>
      <c r="N779" s="13">
        <v>2.54</v>
      </c>
      <c r="O779" s="13">
        <v>2.54</v>
      </c>
      <c r="P779" s="13">
        <v>2.54</v>
      </c>
      <c r="R779" s="8">
        <f t="shared" si="229"/>
        <v>321.17422176000002</v>
      </c>
      <c r="S779" s="8">
        <f t="shared" si="230"/>
        <v>321.17422176000002</v>
      </c>
      <c r="T779" s="8">
        <f t="shared" si="231"/>
        <v>321.17422176000002</v>
      </c>
      <c r="V779" s="13">
        <v>58.17</v>
      </c>
      <c r="W779" s="13">
        <v>83.1</v>
      </c>
      <c r="X779" s="13">
        <v>108.03</v>
      </c>
    </row>
    <row r="780" spans="1:24" ht="32" x14ac:dyDescent="0.2">
      <c r="A780" s="9" t="s">
        <v>11</v>
      </c>
      <c r="B780" s="10" t="s">
        <v>823</v>
      </c>
      <c r="C780" s="8">
        <v>7</v>
      </c>
      <c r="D780" s="11" t="s">
        <v>36</v>
      </c>
      <c r="E780" s="12">
        <v>51.85</v>
      </c>
      <c r="F780" s="12">
        <v>362.95</v>
      </c>
      <c r="G780" s="8">
        <v>500</v>
      </c>
      <c r="H780" s="8">
        <v>750</v>
      </c>
      <c r="I780" s="8">
        <v>1000</v>
      </c>
      <c r="V780" s="13"/>
      <c r="W780" s="13"/>
      <c r="X780" s="13"/>
    </row>
    <row r="781" spans="1:24" ht="16" x14ac:dyDescent="0.2">
      <c r="A781" s="9" t="s">
        <v>12</v>
      </c>
      <c r="B781" s="10" t="s">
        <v>824</v>
      </c>
      <c r="C781" s="8">
        <v>7</v>
      </c>
      <c r="D781" s="11" t="s">
        <v>36</v>
      </c>
      <c r="E781" s="12">
        <v>51.85</v>
      </c>
      <c r="F781" s="12">
        <v>362.95</v>
      </c>
      <c r="G781" s="8">
        <v>500</v>
      </c>
      <c r="H781" s="8">
        <v>750</v>
      </c>
      <c r="I781" s="8">
        <v>1000</v>
      </c>
      <c r="V781" s="13"/>
      <c r="W781" s="13"/>
      <c r="X781" s="13"/>
    </row>
    <row r="782" spans="1:24" ht="16" x14ac:dyDescent="0.2">
      <c r="A782" s="9" t="s">
        <v>13</v>
      </c>
      <c r="B782" s="10" t="s">
        <v>825</v>
      </c>
      <c r="C782" s="8">
        <v>10</v>
      </c>
      <c r="D782" s="11" t="s">
        <v>36</v>
      </c>
      <c r="E782" s="12">
        <v>0</v>
      </c>
      <c r="F782" s="12">
        <v>0</v>
      </c>
      <c r="V782" s="13"/>
      <c r="W782" s="13"/>
      <c r="X782" s="13"/>
    </row>
    <row r="783" spans="1:24" ht="16" x14ac:dyDescent="0.2">
      <c r="A783" s="9" t="s">
        <v>14</v>
      </c>
      <c r="B783" s="10" t="s">
        <v>826</v>
      </c>
      <c r="C783" s="8">
        <v>10</v>
      </c>
      <c r="D783" s="11" t="s">
        <v>36</v>
      </c>
      <c r="E783" s="12">
        <v>0</v>
      </c>
      <c r="F783" s="12">
        <v>0</v>
      </c>
      <c r="V783" s="13"/>
      <c r="W783" s="13"/>
      <c r="X783" s="13"/>
    </row>
    <row r="784" spans="1:24" ht="32" x14ac:dyDescent="0.2">
      <c r="A784" s="9" t="s">
        <v>15</v>
      </c>
      <c r="B784" s="10" t="s">
        <v>827</v>
      </c>
      <c r="C784" s="8">
        <v>1</v>
      </c>
      <c r="D784" s="11" t="s">
        <v>36</v>
      </c>
      <c r="E784" s="12">
        <v>0</v>
      </c>
      <c r="F784" s="12">
        <v>0</v>
      </c>
      <c r="V784" s="13"/>
      <c r="W784" s="13"/>
      <c r="X784" s="13"/>
    </row>
    <row r="785" spans="1:24" ht="32" x14ac:dyDescent="0.2">
      <c r="A785" s="9" t="s">
        <v>16</v>
      </c>
      <c r="B785" s="10" t="s">
        <v>828</v>
      </c>
      <c r="C785" s="8">
        <v>116</v>
      </c>
      <c r="D785" s="11" t="s">
        <v>34</v>
      </c>
      <c r="E785" s="12">
        <v>1.08</v>
      </c>
      <c r="F785" s="12">
        <v>125.28</v>
      </c>
      <c r="G785" s="8">
        <v>1</v>
      </c>
      <c r="H785" s="8">
        <v>1</v>
      </c>
      <c r="I785" s="8">
        <v>1</v>
      </c>
      <c r="V785" s="13"/>
      <c r="W785" s="13"/>
      <c r="X785" s="13"/>
    </row>
    <row r="786" spans="1:24" ht="32" x14ac:dyDescent="0.2">
      <c r="A786" s="9" t="s">
        <v>17</v>
      </c>
      <c r="B786" s="10" t="s">
        <v>829</v>
      </c>
      <c r="C786" s="8">
        <v>136</v>
      </c>
      <c r="D786" s="11" t="s">
        <v>34</v>
      </c>
      <c r="E786" s="12">
        <v>1.08</v>
      </c>
      <c r="F786" s="12">
        <v>146.88</v>
      </c>
      <c r="G786" s="8">
        <v>1</v>
      </c>
      <c r="H786" s="8">
        <v>1</v>
      </c>
      <c r="I786" s="8">
        <v>1</v>
      </c>
      <c r="V786" s="13"/>
      <c r="W786" s="13"/>
      <c r="X786" s="13"/>
    </row>
    <row r="787" spans="1:24" ht="48" x14ac:dyDescent="0.2">
      <c r="A787" s="9" t="s">
        <v>6</v>
      </c>
      <c r="B787" s="10" t="s">
        <v>830</v>
      </c>
      <c r="C787" s="8">
        <v>149</v>
      </c>
      <c r="D787" s="11" t="s">
        <v>34</v>
      </c>
      <c r="E787" s="12">
        <v>38.89</v>
      </c>
      <c r="F787" s="12">
        <v>5794.61</v>
      </c>
      <c r="G787" s="8">
        <v>500</v>
      </c>
      <c r="H787" s="8">
        <v>750</v>
      </c>
      <c r="I787" s="8">
        <v>1000</v>
      </c>
      <c r="J787" s="55">
        <f>C787*1.25*0.2</f>
        <v>37.25</v>
      </c>
      <c r="K787" s="13">
        <v>2050</v>
      </c>
      <c r="L787" s="13" t="s">
        <v>108</v>
      </c>
      <c r="N787" s="13">
        <v>2.4E-2</v>
      </c>
      <c r="O787" s="13">
        <v>2.4E-2</v>
      </c>
      <c r="P787" s="13">
        <v>2.4E-2</v>
      </c>
      <c r="R787" s="8">
        <f t="shared" ref="R787:R798" si="232">N787*K787*J787</f>
        <v>1832.7</v>
      </c>
      <c r="S787" s="8">
        <f t="shared" ref="S787:S798" si="233">O787*K787*J787</f>
        <v>1832.7</v>
      </c>
      <c r="T787" s="8">
        <f t="shared" ref="T787:T798" si="234">P787*K787*J787</f>
        <v>1832.7</v>
      </c>
      <c r="V787" s="13">
        <v>0.15</v>
      </c>
      <c r="W787" s="13">
        <v>0.45</v>
      </c>
      <c r="X787" s="13">
        <v>0.73</v>
      </c>
    </row>
    <row r="788" spans="1:24" ht="32" x14ac:dyDescent="0.2">
      <c r="A788" s="9" t="s">
        <v>9</v>
      </c>
      <c r="B788" s="10" t="s">
        <v>831</v>
      </c>
      <c r="C788" s="8">
        <v>1</v>
      </c>
      <c r="D788" s="11" t="s">
        <v>36</v>
      </c>
      <c r="E788" s="12">
        <v>297.07</v>
      </c>
      <c r="F788" s="12">
        <v>297.07</v>
      </c>
      <c r="G788" s="8">
        <v>500</v>
      </c>
      <c r="H788" s="8">
        <v>750</v>
      </c>
      <c r="I788" s="8">
        <v>1000</v>
      </c>
      <c r="V788" s="13"/>
      <c r="W788" s="13"/>
      <c r="X788" s="13"/>
    </row>
    <row r="789" spans="1:24" ht="48" x14ac:dyDescent="0.2">
      <c r="A789" s="9" t="s">
        <v>10</v>
      </c>
      <c r="B789" s="10" t="s">
        <v>832</v>
      </c>
      <c r="C789" s="8">
        <v>149</v>
      </c>
      <c r="D789" s="11" t="s">
        <v>34</v>
      </c>
      <c r="E789" s="12">
        <v>38.89</v>
      </c>
      <c r="F789" s="12">
        <v>5794.61</v>
      </c>
      <c r="G789" s="8">
        <v>500</v>
      </c>
      <c r="H789" s="8">
        <v>750</v>
      </c>
      <c r="I789" s="8">
        <v>1000</v>
      </c>
      <c r="J789" s="55">
        <f>C789*0.2*1.25</f>
        <v>37.25</v>
      </c>
      <c r="K789" s="13">
        <v>2050</v>
      </c>
      <c r="L789" s="13" t="s">
        <v>108</v>
      </c>
      <c r="N789" s="13">
        <v>2.4E-2</v>
      </c>
      <c r="O789" s="13">
        <v>2.4E-2</v>
      </c>
      <c r="P789" s="13">
        <v>2.4E-2</v>
      </c>
      <c r="R789" s="8">
        <f t="shared" si="232"/>
        <v>1832.7</v>
      </c>
      <c r="S789" s="8">
        <f t="shared" si="233"/>
        <v>1832.7</v>
      </c>
      <c r="T789" s="8">
        <f t="shared" si="234"/>
        <v>1832.7</v>
      </c>
      <c r="V789" s="13">
        <v>0.15</v>
      </c>
      <c r="W789" s="13">
        <v>0.45</v>
      </c>
      <c r="X789" s="13">
        <v>0.73</v>
      </c>
    </row>
    <row r="790" spans="1:24" ht="48" x14ac:dyDescent="0.2">
      <c r="A790" s="9" t="s">
        <v>11</v>
      </c>
      <c r="B790" s="10" t="s">
        <v>833</v>
      </c>
      <c r="C790" s="8">
        <v>256</v>
      </c>
      <c r="D790" s="11" t="s">
        <v>34</v>
      </c>
      <c r="E790" s="12">
        <v>38.89</v>
      </c>
      <c r="F790" s="12">
        <v>9955.84</v>
      </c>
      <c r="G790" s="8">
        <v>500</v>
      </c>
      <c r="H790" s="8">
        <v>750</v>
      </c>
      <c r="I790" s="8">
        <v>1000</v>
      </c>
      <c r="J790" s="55">
        <f>C790*0.2*1.25</f>
        <v>64</v>
      </c>
      <c r="K790" s="13">
        <v>2050</v>
      </c>
      <c r="L790" s="13" t="s">
        <v>108</v>
      </c>
      <c r="N790" s="13">
        <v>2.4E-2</v>
      </c>
      <c r="O790" s="13">
        <v>2.4E-2</v>
      </c>
      <c r="P790" s="13">
        <v>2.4E-2</v>
      </c>
      <c r="R790" s="8">
        <f t="shared" si="232"/>
        <v>3148.8</v>
      </c>
      <c r="S790" s="8">
        <f t="shared" si="233"/>
        <v>3148.8</v>
      </c>
      <c r="T790" s="8">
        <f t="shared" si="234"/>
        <v>3148.8</v>
      </c>
      <c r="V790" s="13">
        <v>0.15</v>
      </c>
      <c r="W790" s="13">
        <v>0.45</v>
      </c>
      <c r="X790" s="13">
        <v>0.73</v>
      </c>
    </row>
    <row r="791" spans="1:24" ht="48" x14ac:dyDescent="0.2">
      <c r="A791" s="9" t="s">
        <v>12</v>
      </c>
      <c r="B791" s="10" t="s">
        <v>834</v>
      </c>
      <c r="C791" s="8">
        <v>48</v>
      </c>
      <c r="D791" s="11" t="s">
        <v>34</v>
      </c>
      <c r="E791" s="12">
        <v>38.89</v>
      </c>
      <c r="F791" s="12">
        <v>1866.72</v>
      </c>
      <c r="G791" s="8">
        <v>500</v>
      </c>
      <c r="H791" s="8">
        <v>750</v>
      </c>
      <c r="I791" s="8">
        <v>1000</v>
      </c>
      <c r="J791" s="55">
        <f>C791*0.2*1.25</f>
        <v>12.000000000000002</v>
      </c>
      <c r="K791" s="13">
        <v>2050</v>
      </c>
      <c r="L791" s="13" t="s">
        <v>108</v>
      </c>
      <c r="N791" s="13">
        <v>2.4E-2</v>
      </c>
      <c r="O791" s="13">
        <v>2.4E-2</v>
      </c>
      <c r="P791" s="13">
        <v>2.4E-2</v>
      </c>
      <c r="R791" s="8">
        <f t="shared" si="232"/>
        <v>590.40000000000009</v>
      </c>
      <c r="S791" s="8">
        <f t="shared" si="233"/>
        <v>590.40000000000009</v>
      </c>
      <c r="T791" s="8">
        <f t="shared" si="234"/>
        <v>590.40000000000009</v>
      </c>
      <c r="V791" s="13">
        <v>0.15</v>
      </c>
      <c r="W791" s="13">
        <v>0.45</v>
      </c>
      <c r="X791" s="13">
        <v>0.73</v>
      </c>
    </row>
    <row r="792" spans="1:24" ht="48" x14ac:dyDescent="0.2">
      <c r="A792" s="9" t="s">
        <v>13</v>
      </c>
      <c r="B792" s="10" t="s">
        <v>833</v>
      </c>
      <c r="C792" s="8">
        <v>208</v>
      </c>
      <c r="D792" s="11" t="s">
        <v>34</v>
      </c>
      <c r="E792" s="12">
        <v>38.89</v>
      </c>
      <c r="F792" s="12">
        <v>8089.12</v>
      </c>
      <c r="G792" s="8">
        <v>500</v>
      </c>
      <c r="H792" s="8">
        <v>750</v>
      </c>
      <c r="I792" s="8">
        <v>1000</v>
      </c>
      <c r="J792" s="55">
        <f>C792*0.2*1.25</f>
        <v>52</v>
      </c>
      <c r="K792" s="13">
        <v>2050</v>
      </c>
      <c r="L792" s="13" t="s">
        <v>108</v>
      </c>
      <c r="N792" s="13">
        <v>2.4E-2</v>
      </c>
      <c r="O792" s="13">
        <v>2.4E-2</v>
      </c>
      <c r="P792" s="13">
        <v>2.4E-2</v>
      </c>
      <c r="R792" s="8">
        <f t="shared" si="232"/>
        <v>2558.4</v>
      </c>
      <c r="S792" s="8">
        <f t="shared" si="233"/>
        <v>2558.4</v>
      </c>
      <c r="T792" s="8">
        <f t="shared" si="234"/>
        <v>2558.4</v>
      </c>
      <c r="V792" s="13">
        <v>0.15</v>
      </c>
      <c r="W792" s="13">
        <v>0.45</v>
      </c>
      <c r="X792" s="13">
        <v>0.73</v>
      </c>
    </row>
    <row r="793" spans="1:24" ht="48" x14ac:dyDescent="0.2">
      <c r="A793" s="9" t="s">
        <v>14</v>
      </c>
      <c r="B793" s="10" t="s">
        <v>835</v>
      </c>
      <c r="C793" s="8">
        <v>89</v>
      </c>
      <c r="D793" s="11" t="s">
        <v>34</v>
      </c>
      <c r="E793" s="12">
        <v>38.89</v>
      </c>
      <c r="F793" s="12">
        <v>3461.21</v>
      </c>
      <c r="G793" s="8">
        <v>500</v>
      </c>
      <c r="H793" s="8">
        <v>750</v>
      </c>
      <c r="I793" s="8">
        <v>1000</v>
      </c>
      <c r="J793" s="55">
        <f>C793*1.25*0.2</f>
        <v>22.25</v>
      </c>
      <c r="K793" s="13">
        <v>2050</v>
      </c>
      <c r="L793" s="13" t="s">
        <v>108</v>
      </c>
      <c r="N793" s="13">
        <v>2.4E-2</v>
      </c>
      <c r="O793" s="13">
        <v>2.4E-2</v>
      </c>
      <c r="P793" s="13">
        <v>2.4E-2</v>
      </c>
      <c r="R793" s="8">
        <f t="shared" si="232"/>
        <v>1094.7</v>
      </c>
      <c r="S793" s="8">
        <f t="shared" si="233"/>
        <v>1094.7</v>
      </c>
      <c r="T793" s="8">
        <f t="shared" si="234"/>
        <v>1094.7</v>
      </c>
      <c r="V793" s="13">
        <v>0.15</v>
      </c>
      <c r="W793" s="13">
        <v>0.45</v>
      </c>
      <c r="X793" s="13">
        <v>0.73</v>
      </c>
    </row>
    <row r="794" spans="1:24" ht="16" x14ac:dyDescent="0.2">
      <c r="A794" s="9" t="s">
        <v>15</v>
      </c>
      <c r="B794" s="10" t="s">
        <v>836</v>
      </c>
      <c r="C794" s="8">
        <v>1</v>
      </c>
      <c r="D794" s="11" t="s">
        <v>7</v>
      </c>
      <c r="E794" s="12">
        <v>199.84</v>
      </c>
      <c r="F794" s="12">
        <v>199.84</v>
      </c>
      <c r="G794" s="8">
        <v>1</v>
      </c>
      <c r="H794" s="8">
        <v>1</v>
      </c>
      <c r="I794" s="8">
        <v>1</v>
      </c>
      <c r="N794" s="13"/>
      <c r="O794" s="13"/>
      <c r="P794" s="13"/>
      <c r="V794" s="13"/>
      <c r="W794" s="13"/>
      <c r="X794" s="13"/>
    </row>
    <row r="795" spans="1:24" ht="32" x14ac:dyDescent="0.2">
      <c r="A795" s="9" t="s">
        <v>6</v>
      </c>
      <c r="B795" s="10" t="s">
        <v>837</v>
      </c>
      <c r="C795" s="8">
        <v>304</v>
      </c>
      <c r="D795" s="11" t="s">
        <v>34</v>
      </c>
      <c r="E795" s="12">
        <v>11.88</v>
      </c>
      <c r="F795" s="12">
        <v>3611.52</v>
      </c>
      <c r="G795" s="8">
        <v>500</v>
      </c>
      <c r="H795" s="8">
        <v>750</v>
      </c>
      <c r="I795" s="8">
        <v>1000</v>
      </c>
      <c r="J795" s="55">
        <f>C795*0.2*0.2</f>
        <v>12.160000000000002</v>
      </c>
      <c r="K795" s="13">
        <v>2050</v>
      </c>
      <c r="L795" s="13" t="s">
        <v>108</v>
      </c>
      <c r="N795" s="13">
        <v>2.4E-2</v>
      </c>
      <c r="O795" s="13">
        <v>2.4E-2</v>
      </c>
      <c r="P795" s="13">
        <v>2.4E-2</v>
      </c>
      <c r="R795" s="8">
        <f t="shared" si="232"/>
        <v>598.27200000000016</v>
      </c>
      <c r="S795" s="8">
        <f t="shared" si="233"/>
        <v>598.27200000000016</v>
      </c>
      <c r="T795" s="8">
        <f t="shared" si="234"/>
        <v>598.27200000000016</v>
      </c>
      <c r="V795" s="13">
        <v>0.15</v>
      </c>
      <c r="W795" s="13">
        <v>0.45</v>
      </c>
      <c r="X795" s="13">
        <v>0.73</v>
      </c>
    </row>
    <row r="796" spans="1:24" ht="32" x14ac:dyDescent="0.2">
      <c r="A796" s="9" t="s">
        <v>9</v>
      </c>
      <c r="B796" s="10" t="s">
        <v>838</v>
      </c>
      <c r="C796" s="8">
        <v>298</v>
      </c>
      <c r="D796" s="11" t="s">
        <v>34</v>
      </c>
      <c r="E796" s="12">
        <v>11.88</v>
      </c>
      <c r="F796" s="12">
        <v>3540.24</v>
      </c>
      <c r="G796" s="8">
        <v>500</v>
      </c>
      <c r="H796" s="8">
        <v>750</v>
      </c>
      <c r="I796" s="8">
        <v>1000</v>
      </c>
      <c r="J796" s="55">
        <f>C796*0.2*0.2</f>
        <v>11.920000000000002</v>
      </c>
      <c r="K796" s="13">
        <v>2050</v>
      </c>
      <c r="L796" s="13" t="s">
        <v>108</v>
      </c>
      <c r="N796" s="13">
        <v>2.4E-2</v>
      </c>
      <c r="O796" s="13">
        <v>2.4E-2</v>
      </c>
      <c r="P796" s="13">
        <v>2.4E-2</v>
      </c>
      <c r="R796" s="8">
        <f t="shared" si="232"/>
        <v>586.46400000000017</v>
      </c>
      <c r="S796" s="8">
        <f t="shared" si="233"/>
        <v>586.46400000000017</v>
      </c>
      <c r="T796" s="8">
        <f t="shared" si="234"/>
        <v>586.46400000000017</v>
      </c>
      <c r="V796" s="13">
        <v>0.15</v>
      </c>
      <c r="W796" s="13">
        <v>0.45</v>
      </c>
      <c r="X796" s="13">
        <v>0.73</v>
      </c>
    </row>
    <row r="797" spans="1:24" ht="48" x14ac:dyDescent="0.2">
      <c r="A797" s="9" t="s">
        <v>10</v>
      </c>
      <c r="B797" s="10" t="s">
        <v>839</v>
      </c>
      <c r="C797" s="8">
        <v>298</v>
      </c>
      <c r="D797" s="11" t="s">
        <v>34</v>
      </c>
      <c r="E797" s="12">
        <v>11.88</v>
      </c>
      <c r="F797" s="12">
        <v>3540.24</v>
      </c>
      <c r="G797" s="8">
        <v>500</v>
      </c>
      <c r="H797" s="8">
        <v>750</v>
      </c>
      <c r="I797" s="8">
        <v>1000</v>
      </c>
      <c r="J797" s="55">
        <f>C797*0.2*0.2</f>
        <v>11.920000000000002</v>
      </c>
      <c r="K797" s="13">
        <v>2050</v>
      </c>
      <c r="L797" s="13" t="s">
        <v>108</v>
      </c>
      <c r="N797" s="13">
        <v>2.4E-2</v>
      </c>
      <c r="O797" s="13">
        <v>2.4E-2</v>
      </c>
      <c r="P797" s="13">
        <v>2.4E-2</v>
      </c>
      <c r="R797" s="8">
        <f t="shared" si="232"/>
        <v>586.46400000000017</v>
      </c>
      <c r="S797" s="8">
        <f t="shared" si="233"/>
        <v>586.46400000000017</v>
      </c>
      <c r="T797" s="8">
        <f t="shared" si="234"/>
        <v>586.46400000000017</v>
      </c>
      <c r="V797" s="13">
        <v>0.15</v>
      </c>
      <c r="W797" s="13">
        <v>0.45</v>
      </c>
      <c r="X797" s="13">
        <v>0.73</v>
      </c>
    </row>
    <row r="798" spans="1:24" ht="48" x14ac:dyDescent="0.2">
      <c r="A798" s="9" t="s">
        <v>11</v>
      </c>
      <c r="B798" s="10" t="s">
        <v>840</v>
      </c>
      <c r="C798" s="8">
        <v>89</v>
      </c>
      <c r="D798" s="11" t="s">
        <v>34</v>
      </c>
      <c r="E798" s="12">
        <v>11.88</v>
      </c>
      <c r="F798" s="12">
        <v>1057.32</v>
      </c>
      <c r="G798" s="8">
        <v>500</v>
      </c>
      <c r="H798" s="8">
        <v>750</v>
      </c>
      <c r="I798" s="8">
        <v>1000</v>
      </c>
      <c r="J798" s="55">
        <f>C798*0.2*0.2</f>
        <v>3.5600000000000005</v>
      </c>
      <c r="K798" s="13">
        <v>2050</v>
      </c>
      <c r="L798" s="13" t="s">
        <v>108</v>
      </c>
      <c r="N798" s="13">
        <v>2.4E-2</v>
      </c>
      <c r="O798" s="13">
        <v>2.4E-2</v>
      </c>
      <c r="P798" s="13">
        <v>2.4E-2</v>
      </c>
      <c r="R798" s="8">
        <f t="shared" si="232"/>
        <v>175.15200000000004</v>
      </c>
      <c r="S798" s="8">
        <f t="shared" si="233"/>
        <v>175.15200000000004</v>
      </c>
      <c r="T798" s="8">
        <f t="shared" si="234"/>
        <v>175.15200000000004</v>
      </c>
      <c r="V798" s="13">
        <v>0.15</v>
      </c>
      <c r="W798" s="13">
        <v>0.45</v>
      </c>
      <c r="X798" s="13">
        <v>0.73</v>
      </c>
    </row>
    <row r="799" spans="1:24" ht="16" x14ac:dyDescent="0.2">
      <c r="A799" s="9" t="s">
        <v>12</v>
      </c>
      <c r="B799" s="10" t="s">
        <v>841</v>
      </c>
      <c r="C799" s="8">
        <v>304</v>
      </c>
      <c r="D799" s="11" t="s">
        <v>34</v>
      </c>
      <c r="E799" s="12">
        <v>8.64</v>
      </c>
      <c r="F799" s="12">
        <v>2626.56</v>
      </c>
      <c r="G799" s="8">
        <v>18</v>
      </c>
      <c r="H799" s="8">
        <v>24</v>
      </c>
      <c r="I799" s="8">
        <v>34</v>
      </c>
      <c r="J799" s="55">
        <f>C799*3.14*0.1*0.005</f>
        <v>0.47728000000000009</v>
      </c>
      <c r="K799" s="8">
        <v>940</v>
      </c>
      <c r="N799" s="13">
        <v>2.54</v>
      </c>
      <c r="O799" s="13">
        <v>2.54</v>
      </c>
      <c r="P799" s="13">
        <v>2.54</v>
      </c>
      <c r="R799" s="8">
        <f t="shared" ref="R799:R802" si="235">N799*K799*J799</f>
        <v>1139.5537280000001</v>
      </c>
      <c r="S799" s="8">
        <f t="shared" ref="S799:S802" si="236">O799*K799*J799</f>
        <v>1139.5537280000001</v>
      </c>
      <c r="T799" s="8">
        <f t="shared" ref="T799:T802" si="237">P799*K799*J799</f>
        <v>1139.5537280000001</v>
      </c>
      <c r="V799" s="13">
        <v>58.17</v>
      </c>
      <c r="W799" s="13">
        <v>83.1</v>
      </c>
      <c r="X799" s="13">
        <v>108.03</v>
      </c>
    </row>
    <row r="800" spans="1:24" ht="16" x14ac:dyDescent="0.2">
      <c r="A800" s="9" t="s">
        <v>13</v>
      </c>
      <c r="B800" s="10" t="s">
        <v>842</v>
      </c>
      <c r="C800" s="8">
        <v>298</v>
      </c>
      <c r="D800" s="11" t="s">
        <v>34</v>
      </c>
      <c r="E800" s="12">
        <v>8.64</v>
      </c>
      <c r="F800" s="12">
        <v>2574.7199999999998</v>
      </c>
      <c r="G800" s="8">
        <v>18</v>
      </c>
      <c r="H800" s="8">
        <v>24</v>
      </c>
      <c r="I800" s="8">
        <v>34</v>
      </c>
      <c r="J800" s="55">
        <f>C800*3.14*0.1*0.005</f>
        <v>0.46786</v>
      </c>
      <c r="K800" s="8">
        <v>940</v>
      </c>
      <c r="N800" s="13">
        <v>2.54</v>
      </c>
      <c r="O800" s="13">
        <v>2.54</v>
      </c>
      <c r="P800" s="13">
        <v>2.54</v>
      </c>
      <c r="R800" s="8">
        <f t="shared" si="235"/>
        <v>1117.0625359999999</v>
      </c>
      <c r="S800" s="8">
        <f t="shared" si="236"/>
        <v>1117.0625359999999</v>
      </c>
      <c r="T800" s="8">
        <f t="shared" si="237"/>
        <v>1117.0625359999999</v>
      </c>
      <c r="V800" s="13">
        <v>58.17</v>
      </c>
      <c r="W800" s="13">
        <v>83.1</v>
      </c>
      <c r="X800" s="13">
        <v>108.03</v>
      </c>
    </row>
    <row r="801" spans="1:24" ht="32" x14ac:dyDescent="0.2">
      <c r="A801" s="9" t="s">
        <v>14</v>
      </c>
      <c r="B801" s="10" t="s">
        <v>843</v>
      </c>
      <c r="C801" s="8">
        <v>298</v>
      </c>
      <c r="D801" s="11" t="s">
        <v>34</v>
      </c>
      <c r="E801" s="12">
        <v>8.64</v>
      </c>
      <c r="F801" s="12">
        <v>2574.7199999999998</v>
      </c>
      <c r="G801" s="8">
        <v>18</v>
      </c>
      <c r="H801" s="8">
        <v>24</v>
      </c>
      <c r="I801" s="8">
        <v>34</v>
      </c>
      <c r="J801" s="55">
        <f>C801*0.1*3.14*0.005</f>
        <v>0.46786</v>
      </c>
      <c r="K801" s="8">
        <v>940</v>
      </c>
      <c r="N801" s="13">
        <v>2.54</v>
      </c>
      <c r="O801" s="13">
        <v>2.54</v>
      </c>
      <c r="P801" s="13">
        <v>2.54</v>
      </c>
      <c r="R801" s="8">
        <f t="shared" si="235"/>
        <v>1117.0625359999999</v>
      </c>
      <c r="S801" s="8">
        <f t="shared" si="236"/>
        <v>1117.0625359999999</v>
      </c>
      <c r="T801" s="8">
        <f t="shared" si="237"/>
        <v>1117.0625359999999</v>
      </c>
      <c r="V801" s="13">
        <v>58.17</v>
      </c>
      <c r="W801" s="13">
        <v>83.1</v>
      </c>
      <c r="X801" s="13">
        <v>108.03</v>
      </c>
    </row>
    <row r="802" spans="1:24" ht="32" x14ac:dyDescent="0.2">
      <c r="A802" s="9" t="s">
        <v>15</v>
      </c>
      <c r="B802" s="10" t="s">
        <v>844</v>
      </c>
      <c r="C802" s="8">
        <v>89</v>
      </c>
      <c r="D802" s="11" t="s">
        <v>34</v>
      </c>
      <c r="E802" s="12">
        <v>8.64</v>
      </c>
      <c r="F802" s="12">
        <v>768.96</v>
      </c>
      <c r="G802" s="8">
        <v>18</v>
      </c>
      <c r="H802" s="8">
        <v>24</v>
      </c>
      <c r="I802" s="8">
        <v>34</v>
      </c>
      <c r="J802" s="55">
        <f>C802*0.05*3.14*0.005</f>
        <v>6.986500000000001E-2</v>
      </c>
      <c r="K802" s="8">
        <v>940</v>
      </c>
      <c r="N802" s="13">
        <v>2.54</v>
      </c>
      <c r="O802" s="13">
        <v>2.54</v>
      </c>
      <c r="P802" s="13">
        <v>2.54</v>
      </c>
      <c r="R802" s="8">
        <f t="shared" si="235"/>
        <v>166.80967400000003</v>
      </c>
      <c r="S802" s="8">
        <f t="shared" si="236"/>
        <v>166.80967400000003</v>
      </c>
      <c r="T802" s="8">
        <f t="shared" si="237"/>
        <v>166.80967400000003</v>
      </c>
      <c r="V802" s="13">
        <v>58.17</v>
      </c>
      <c r="W802" s="13">
        <v>83.1</v>
      </c>
      <c r="X802" s="13">
        <v>108.03</v>
      </c>
    </row>
    <row r="803" spans="1:24" ht="32" x14ac:dyDescent="0.2">
      <c r="A803" s="9" t="s">
        <v>16</v>
      </c>
      <c r="B803" s="10" t="s">
        <v>845</v>
      </c>
      <c r="C803" s="8">
        <v>22</v>
      </c>
      <c r="D803" s="11" t="s">
        <v>36</v>
      </c>
      <c r="E803" s="12">
        <v>51.85</v>
      </c>
      <c r="F803" s="12">
        <v>1140.7</v>
      </c>
      <c r="G803" s="8">
        <v>500</v>
      </c>
      <c r="H803" s="8">
        <v>750</v>
      </c>
      <c r="I803" s="8">
        <v>1000</v>
      </c>
      <c r="V803" s="13"/>
      <c r="W803" s="13"/>
      <c r="X803" s="13"/>
    </row>
    <row r="804" spans="1:24" ht="32" x14ac:dyDescent="0.2">
      <c r="A804" s="9" t="s">
        <v>17</v>
      </c>
      <c r="B804" s="10" t="s">
        <v>846</v>
      </c>
      <c r="C804" s="8">
        <v>3</v>
      </c>
      <c r="D804" s="11" t="s">
        <v>36</v>
      </c>
      <c r="E804" s="12">
        <v>51.85</v>
      </c>
      <c r="F804" s="12">
        <v>155.55000000000001</v>
      </c>
      <c r="G804" s="8">
        <v>500</v>
      </c>
      <c r="H804" s="8">
        <v>750</v>
      </c>
      <c r="I804" s="8">
        <v>1000</v>
      </c>
      <c r="V804" s="13"/>
      <c r="W804" s="13"/>
      <c r="X804" s="13"/>
    </row>
    <row r="805" spans="1:24" ht="32" x14ac:dyDescent="0.2">
      <c r="A805" s="9" t="s">
        <v>18</v>
      </c>
      <c r="B805" s="10" t="s">
        <v>847</v>
      </c>
      <c r="C805" s="8">
        <v>3</v>
      </c>
      <c r="D805" s="11" t="s">
        <v>36</v>
      </c>
      <c r="E805" s="12">
        <v>51.85</v>
      </c>
      <c r="F805" s="12">
        <v>155.55000000000001</v>
      </c>
      <c r="G805" s="8">
        <v>500</v>
      </c>
      <c r="H805" s="8">
        <v>750</v>
      </c>
      <c r="I805" s="8">
        <v>1000</v>
      </c>
      <c r="V805" s="13"/>
      <c r="W805" s="13"/>
      <c r="X805" s="13"/>
    </row>
    <row r="806" spans="1:24" ht="32" x14ac:dyDescent="0.2">
      <c r="A806" s="9" t="s">
        <v>19</v>
      </c>
      <c r="B806" s="10" t="s">
        <v>848</v>
      </c>
      <c r="C806" s="8">
        <v>6</v>
      </c>
      <c r="D806" s="11" t="s">
        <v>36</v>
      </c>
      <c r="E806" s="12">
        <v>51.85</v>
      </c>
      <c r="F806" s="12">
        <v>311.10000000000002</v>
      </c>
      <c r="G806" s="8">
        <v>500</v>
      </c>
      <c r="H806" s="8">
        <v>750</v>
      </c>
      <c r="I806" s="8">
        <v>1000</v>
      </c>
      <c r="V806" s="13"/>
      <c r="W806" s="13"/>
      <c r="X806" s="13"/>
    </row>
    <row r="807" spans="1:24" ht="16" x14ac:dyDescent="0.2">
      <c r="A807" s="9" t="s">
        <v>20</v>
      </c>
      <c r="B807" s="10" t="s">
        <v>849</v>
      </c>
      <c r="C807" s="8">
        <v>11</v>
      </c>
      <c r="D807" s="11" t="s">
        <v>36</v>
      </c>
      <c r="E807" s="12">
        <v>0</v>
      </c>
      <c r="F807" s="12">
        <v>0</v>
      </c>
      <c r="V807" s="13"/>
      <c r="W807" s="13"/>
      <c r="X807" s="13"/>
    </row>
    <row r="808" spans="1:24" ht="32" x14ac:dyDescent="0.2">
      <c r="A808" s="9" t="s">
        <v>6</v>
      </c>
      <c r="B808" s="10" t="s">
        <v>850</v>
      </c>
      <c r="C808" s="8">
        <v>6</v>
      </c>
      <c r="D808" s="11" t="s">
        <v>36</v>
      </c>
      <c r="E808" s="12">
        <v>59.41</v>
      </c>
      <c r="F808" s="12">
        <v>356.46</v>
      </c>
      <c r="G808" s="8">
        <v>1</v>
      </c>
      <c r="H808" s="8">
        <v>1</v>
      </c>
      <c r="I808" s="8">
        <v>1</v>
      </c>
      <c r="V808" s="13"/>
      <c r="W808" s="13"/>
      <c r="X808" s="13"/>
    </row>
    <row r="809" spans="1:24" ht="16" x14ac:dyDescent="0.2">
      <c r="A809" s="9" t="s">
        <v>9</v>
      </c>
      <c r="B809" s="10" t="s">
        <v>851</v>
      </c>
      <c r="C809" s="8">
        <v>394</v>
      </c>
      <c r="D809" s="11" t="s">
        <v>34</v>
      </c>
      <c r="E809" s="12">
        <v>1.08</v>
      </c>
      <c r="F809" s="12">
        <v>425.52</v>
      </c>
      <c r="G809" s="8">
        <v>1</v>
      </c>
      <c r="H809" s="8">
        <v>1</v>
      </c>
      <c r="I809" s="8">
        <v>1</v>
      </c>
      <c r="V809" s="13"/>
      <c r="W809" s="13"/>
      <c r="X809" s="13"/>
    </row>
    <row r="810" spans="1:24" ht="32" x14ac:dyDescent="0.2">
      <c r="A810" s="9" t="s">
        <v>10</v>
      </c>
      <c r="B810" s="10" t="s">
        <v>852</v>
      </c>
      <c r="C810" s="8">
        <v>592</v>
      </c>
      <c r="D810" s="11" t="s">
        <v>34</v>
      </c>
      <c r="E810" s="12">
        <v>1.08</v>
      </c>
      <c r="F810" s="12">
        <v>639.36</v>
      </c>
      <c r="G810" s="8">
        <v>1</v>
      </c>
      <c r="H810" s="8">
        <v>1</v>
      </c>
      <c r="I810" s="8">
        <v>1</v>
      </c>
      <c r="V810" s="13"/>
      <c r="W810" s="13"/>
      <c r="X810" s="13"/>
    </row>
    <row r="811" spans="1:24" ht="48" x14ac:dyDescent="0.2">
      <c r="A811" s="9" t="s">
        <v>11</v>
      </c>
      <c r="B811" s="10" t="s">
        <v>853</v>
      </c>
      <c r="C811" s="8">
        <v>1</v>
      </c>
      <c r="D811" s="11" t="s">
        <v>7</v>
      </c>
      <c r="E811" s="12">
        <v>0</v>
      </c>
      <c r="F811" s="12">
        <v>0</v>
      </c>
      <c r="V811" s="13"/>
      <c r="W811" s="13"/>
      <c r="X811" s="13"/>
    </row>
    <row r="812" spans="1:24" ht="48" x14ac:dyDescent="0.2">
      <c r="A812" s="9" t="s">
        <v>12</v>
      </c>
      <c r="B812" s="10" t="s">
        <v>854</v>
      </c>
      <c r="C812" s="8">
        <v>1</v>
      </c>
      <c r="D812" s="11" t="s">
        <v>7</v>
      </c>
      <c r="E812" s="12">
        <v>0</v>
      </c>
      <c r="F812" s="12">
        <v>0</v>
      </c>
      <c r="V812" s="13"/>
      <c r="W812" s="13"/>
      <c r="X812" s="13"/>
    </row>
    <row r="813" spans="1:24" ht="64" x14ac:dyDescent="0.2">
      <c r="A813" s="9" t="s">
        <v>13</v>
      </c>
      <c r="B813" s="10" t="s">
        <v>855</v>
      </c>
      <c r="C813" s="8">
        <v>1</v>
      </c>
      <c r="D813" s="11" t="s">
        <v>7</v>
      </c>
      <c r="E813" s="12">
        <v>0</v>
      </c>
      <c r="F813" s="12">
        <v>0</v>
      </c>
      <c r="V813" s="13"/>
      <c r="W813" s="13"/>
      <c r="X813" s="13"/>
    </row>
    <row r="814" spans="1:24" ht="48" x14ac:dyDescent="0.2">
      <c r="A814" s="9" t="s">
        <v>14</v>
      </c>
      <c r="B814" s="10" t="s">
        <v>856</v>
      </c>
      <c r="C814" s="8">
        <v>1</v>
      </c>
      <c r="D814" s="11" t="s">
        <v>7</v>
      </c>
      <c r="E814" s="12">
        <v>0</v>
      </c>
      <c r="F814" s="12">
        <v>0</v>
      </c>
      <c r="V814" s="13"/>
      <c r="W814" s="13"/>
      <c r="X814" s="13"/>
    </row>
    <row r="815" spans="1:24" ht="64" x14ac:dyDescent="0.2">
      <c r="A815" s="9" t="s">
        <v>15</v>
      </c>
      <c r="B815" s="10" t="s">
        <v>857</v>
      </c>
      <c r="C815" s="8">
        <v>1</v>
      </c>
      <c r="D815" s="11" t="s">
        <v>7</v>
      </c>
      <c r="E815" s="12">
        <v>0</v>
      </c>
      <c r="F815" s="12">
        <v>0</v>
      </c>
      <c r="V815" s="13"/>
      <c r="W815" s="13"/>
      <c r="X815" s="13"/>
    </row>
    <row r="816" spans="1:24" ht="48" x14ac:dyDescent="0.2">
      <c r="A816" s="9" t="s">
        <v>16</v>
      </c>
      <c r="B816" s="10" t="s">
        <v>858</v>
      </c>
      <c r="C816" s="8">
        <v>1</v>
      </c>
      <c r="D816" s="11" t="s">
        <v>7</v>
      </c>
      <c r="E816" s="12">
        <v>0</v>
      </c>
      <c r="F816" s="12">
        <v>0</v>
      </c>
      <c r="V816" s="13"/>
      <c r="W816" s="13"/>
      <c r="X816" s="13"/>
    </row>
    <row r="817" spans="1:24" ht="64" x14ac:dyDescent="0.2">
      <c r="A817" s="9" t="s">
        <v>17</v>
      </c>
      <c r="B817" s="10" t="s">
        <v>859</v>
      </c>
      <c r="C817" s="8">
        <v>1</v>
      </c>
      <c r="D817" s="11" t="s">
        <v>7</v>
      </c>
      <c r="E817" s="12">
        <v>0</v>
      </c>
      <c r="F817" s="12">
        <v>0</v>
      </c>
      <c r="V817" s="13"/>
      <c r="W817" s="13"/>
      <c r="X817" s="13"/>
    </row>
    <row r="818" spans="1:24" x14ac:dyDescent="0.2">
      <c r="B818" s="17" t="s">
        <v>860</v>
      </c>
      <c r="C818" s="8">
        <v>10</v>
      </c>
      <c r="D818" s="11" t="s">
        <v>7</v>
      </c>
      <c r="E818" s="18">
        <v>150</v>
      </c>
      <c r="F818" s="12">
        <f>E818*C818</f>
        <v>1500</v>
      </c>
      <c r="G818" s="8">
        <v>10</v>
      </c>
      <c r="H818" s="8">
        <v>20</v>
      </c>
      <c r="I818" s="8">
        <v>30</v>
      </c>
      <c r="V818" s="13"/>
      <c r="W818" s="13"/>
      <c r="X818" s="13"/>
    </row>
    <row r="819" spans="1:24" x14ac:dyDescent="0.2">
      <c r="B819" s="17" t="s">
        <v>861</v>
      </c>
      <c r="C819" s="8">
        <v>10</v>
      </c>
      <c r="D819" s="11" t="s">
        <v>7</v>
      </c>
      <c r="E819" s="18">
        <v>150</v>
      </c>
      <c r="F819" s="12">
        <f t="shared" ref="F819:F852" si="238">E819*C819</f>
        <v>1500</v>
      </c>
      <c r="G819" s="8">
        <v>10</v>
      </c>
      <c r="H819" s="8">
        <v>15</v>
      </c>
      <c r="I819" s="8">
        <v>20</v>
      </c>
      <c r="V819" s="13"/>
      <c r="W819" s="13"/>
      <c r="X819" s="13"/>
    </row>
    <row r="820" spans="1:24" x14ac:dyDescent="0.2">
      <c r="B820" s="17" t="s">
        <v>862</v>
      </c>
      <c r="C820" s="8">
        <v>10</v>
      </c>
      <c r="D820" s="11" t="s">
        <v>7</v>
      </c>
      <c r="E820" s="18">
        <v>60</v>
      </c>
      <c r="F820" s="12">
        <f t="shared" si="238"/>
        <v>600</v>
      </c>
      <c r="G820" s="8">
        <v>15</v>
      </c>
      <c r="H820" s="8">
        <v>20</v>
      </c>
      <c r="I820" s="8">
        <v>25</v>
      </c>
      <c r="V820" s="13"/>
      <c r="W820" s="13"/>
      <c r="X820" s="13"/>
    </row>
    <row r="821" spans="1:24" x14ac:dyDescent="0.2">
      <c r="B821" s="17" t="s">
        <v>863</v>
      </c>
      <c r="C821" s="8">
        <v>10</v>
      </c>
      <c r="D821" s="11" t="s">
        <v>7</v>
      </c>
      <c r="E821" s="18">
        <v>20</v>
      </c>
      <c r="F821" s="12">
        <f t="shared" si="238"/>
        <v>200</v>
      </c>
      <c r="G821" s="8">
        <v>10</v>
      </c>
      <c r="H821" s="8">
        <v>20</v>
      </c>
      <c r="I821" s="8">
        <v>30</v>
      </c>
      <c r="V821" s="13"/>
      <c r="W821" s="13"/>
      <c r="X821" s="13"/>
    </row>
    <row r="822" spans="1:24" x14ac:dyDescent="0.2">
      <c r="B822" s="17" t="s">
        <v>864</v>
      </c>
      <c r="C822" s="8">
        <v>10</v>
      </c>
      <c r="D822" s="11" t="s">
        <v>7</v>
      </c>
      <c r="E822" s="18">
        <v>20</v>
      </c>
      <c r="F822" s="12">
        <f t="shared" si="238"/>
        <v>200</v>
      </c>
      <c r="G822" s="8">
        <v>10</v>
      </c>
      <c r="H822" s="8">
        <v>15</v>
      </c>
      <c r="I822" s="8">
        <v>20</v>
      </c>
      <c r="V822" s="13"/>
      <c r="W822" s="13"/>
      <c r="X822" s="13"/>
    </row>
    <row r="823" spans="1:24" x14ac:dyDescent="0.2">
      <c r="B823" s="17" t="s">
        <v>865</v>
      </c>
      <c r="C823" s="8">
        <v>10</v>
      </c>
      <c r="D823" s="11" t="s">
        <v>7</v>
      </c>
      <c r="E823" s="18">
        <v>260</v>
      </c>
      <c r="F823" s="12">
        <f t="shared" si="238"/>
        <v>2600</v>
      </c>
      <c r="G823" s="8">
        <v>10</v>
      </c>
      <c r="H823" s="8">
        <v>20</v>
      </c>
      <c r="I823" s="8">
        <v>30</v>
      </c>
      <c r="V823" s="13"/>
      <c r="W823" s="13"/>
      <c r="X823" s="13"/>
    </row>
    <row r="824" spans="1:24" ht="29" x14ac:dyDescent="0.2">
      <c r="B824" s="17" t="s">
        <v>866</v>
      </c>
      <c r="C824" s="8">
        <v>10</v>
      </c>
      <c r="D824" s="11" t="s">
        <v>7</v>
      </c>
      <c r="E824" s="18">
        <v>20</v>
      </c>
      <c r="F824" s="12">
        <f t="shared" si="238"/>
        <v>200</v>
      </c>
      <c r="G824" s="8">
        <v>3</v>
      </c>
      <c r="H824" s="8">
        <v>5</v>
      </c>
      <c r="I824" s="8">
        <v>7</v>
      </c>
      <c r="V824" s="13"/>
      <c r="W824" s="13"/>
      <c r="X824" s="13"/>
    </row>
    <row r="825" spans="1:24" x14ac:dyDescent="0.2">
      <c r="B825" s="17" t="s">
        <v>867</v>
      </c>
      <c r="C825" s="8">
        <v>10</v>
      </c>
      <c r="D825" s="11" t="s">
        <v>7</v>
      </c>
      <c r="E825" s="18">
        <v>500</v>
      </c>
      <c r="F825" s="12">
        <f t="shared" si="238"/>
        <v>5000</v>
      </c>
      <c r="G825" s="8">
        <v>5</v>
      </c>
      <c r="H825" s="8">
        <v>10</v>
      </c>
      <c r="I825" s="8">
        <v>15</v>
      </c>
      <c r="V825" s="13"/>
      <c r="W825" s="13"/>
      <c r="X825" s="13"/>
    </row>
    <row r="826" spans="1:24" ht="28" x14ac:dyDescent="0.2">
      <c r="B826" s="21" t="s">
        <v>868</v>
      </c>
      <c r="C826" s="8">
        <v>10</v>
      </c>
      <c r="D826" s="11" t="s">
        <v>7</v>
      </c>
      <c r="E826" s="18">
        <v>30</v>
      </c>
      <c r="F826" s="12">
        <f t="shared" si="238"/>
        <v>300</v>
      </c>
      <c r="G826" s="8">
        <v>20</v>
      </c>
      <c r="H826" s="8">
        <v>30</v>
      </c>
      <c r="I826" s="8">
        <v>40</v>
      </c>
      <c r="V826" s="13"/>
      <c r="W826" s="13"/>
      <c r="X826" s="13"/>
    </row>
    <row r="827" spans="1:24" ht="29" x14ac:dyDescent="0.2">
      <c r="B827" s="17" t="s">
        <v>869</v>
      </c>
      <c r="C827" s="8">
        <v>10</v>
      </c>
      <c r="D827" s="11" t="s">
        <v>7</v>
      </c>
      <c r="E827" s="18">
        <v>14</v>
      </c>
      <c r="F827" s="12">
        <f t="shared" si="238"/>
        <v>140</v>
      </c>
      <c r="G827" s="8">
        <v>0.6</v>
      </c>
      <c r="H827" s="8">
        <v>2</v>
      </c>
      <c r="I827" s="8">
        <v>4.2</v>
      </c>
      <c r="V827" s="13"/>
      <c r="W827" s="13"/>
      <c r="X827" s="13"/>
    </row>
    <row r="828" spans="1:24" x14ac:dyDescent="0.2">
      <c r="B828" s="17" t="s">
        <v>870</v>
      </c>
      <c r="C828" s="8">
        <v>10</v>
      </c>
      <c r="D828" s="11" t="s">
        <v>7</v>
      </c>
      <c r="E828" s="18">
        <v>40</v>
      </c>
      <c r="F828" s="12">
        <f t="shared" si="238"/>
        <v>400</v>
      </c>
      <c r="G828" s="8">
        <v>9</v>
      </c>
      <c r="H828" s="8">
        <v>13</v>
      </c>
      <c r="I828" s="8">
        <v>18</v>
      </c>
      <c r="V828" s="13"/>
      <c r="W828" s="13"/>
      <c r="X828" s="13"/>
    </row>
    <row r="829" spans="1:24" x14ac:dyDescent="0.2">
      <c r="B829" s="21" t="s">
        <v>871</v>
      </c>
      <c r="C829" s="8">
        <v>10</v>
      </c>
      <c r="D829" s="11" t="s">
        <v>7</v>
      </c>
      <c r="E829" s="18">
        <v>100</v>
      </c>
      <c r="F829" s="12">
        <f t="shared" si="238"/>
        <v>1000</v>
      </c>
      <c r="G829" s="8">
        <v>10</v>
      </c>
      <c r="H829" s="8">
        <v>15</v>
      </c>
      <c r="I829" s="8">
        <v>25</v>
      </c>
      <c r="V829" s="13"/>
      <c r="W829" s="13"/>
      <c r="X829" s="13"/>
    </row>
    <row r="830" spans="1:24" x14ac:dyDescent="0.2">
      <c r="B830" s="21" t="s">
        <v>872</v>
      </c>
      <c r="C830" s="8">
        <v>10</v>
      </c>
      <c r="D830" s="11" t="s">
        <v>7</v>
      </c>
      <c r="E830" s="18">
        <v>50</v>
      </c>
      <c r="F830" s="12">
        <f t="shared" si="238"/>
        <v>500</v>
      </c>
      <c r="G830" s="8">
        <v>5</v>
      </c>
      <c r="H830" s="8">
        <v>10</v>
      </c>
      <c r="I830" s="8">
        <v>15</v>
      </c>
      <c r="V830" s="13"/>
      <c r="W830" s="13"/>
      <c r="X830" s="13"/>
    </row>
    <row r="831" spans="1:24" x14ac:dyDescent="0.2">
      <c r="B831" s="21" t="s">
        <v>873</v>
      </c>
      <c r="C831" s="8">
        <v>10</v>
      </c>
      <c r="D831" s="11" t="s">
        <v>7</v>
      </c>
      <c r="E831" s="18">
        <v>60</v>
      </c>
      <c r="F831" s="12">
        <f t="shared" si="238"/>
        <v>600</v>
      </c>
      <c r="G831" s="8">
        <v>15</v>
      </c>
      <c r="H831" s="8">
        <v>20</v>
      </c>
      <c r="I831" s="8">
        <v>25</v>
      </c>
      <c r="V831" s="13"/>
      <c r="W831" s="13"/>
      <c r="X831" s="13"/>
    </row>
    <row r="832" spans="1:24" x14ac:dyDescent="0.2">
      <c r="B832" s="21" t="s">
        <v>874</v>
      </c>
      <c r="C832" s="8">
        <v>10</v>
      </c>
      <c r="D832" s="11" t="s">
        <v>7</v>
      </c>
      <c r="E832" s="18">
        <v>20</v>
      </c>
      <c r="F832" s="12">
        <f t="shared" si="238"/>
        <v>200</v>
      </c>
      <c r="G832" s="8">
        <v>10</v>
      </c>
      <c r="H832" s="8">
        <v>20</v>
      </c>
      <c r="I832" s="8">
        <v>30</v>
      </c>
      <c r="V832" s="13"/>
      <c r="W832" s="13"/>
      <c r="X832" s="13"/>
    </row>
    <row r="833" spans="2:24" x14ac:dyDescent="0.2">
      <c r="B833" s="22" t="s">
        <v>875</v>
      </c>
      <c r="C833" s="8">
        <v>10</v>
      </c>
      <c r="D833" s="11" t="s">
        <v>7</v>
      </c>
      <c r="E833" s="18">
        <v>160</v>
      </c>
      <c r="F833" s="12">
        <f t="shared" si="238"/>
        <v>1600</v>
      </c>
      <c r="G833" s="8">
        <v>7</v>
      </c>
      <c r="H833" s="8">
        <v>10</v>
      </c>
      <c r="I833" s="8">
        <v>13</v>
      </c>
      <c r="V833" s="13"/>
      <c r="W833" s="13"/>
      <c r="X833" s="13"/>
    </row>
    <row r="834" spans="2:24" x14ac:dyDescent="0.2">
      <c r="B834" s="17" t="s">
        <v>876</v>
      </c>
      <c r="C834" s="8">
        <v>10</v>
      </c>
      <c r="D834" s="11" t="s">
        <v>7</v>
      </c>
      <c r="E834" s="18">
        <v>120</v>
      </c>
      <c r="F834" s="12">
        <f t="shared" si="238"/>
        <v>1200</v>
      </c>
      <c r="G834" s="23">
        <v>12</v>
      </c>
      <c r="H834" s="23">
        <v>15</v>
      </c>
      <c r="I834" s="23">
        <v>20</v>
      </c>
      <c r="V834" s="13"/>
      <c r="W834" s="13"/>
      <c r="X834" s="13"/>
    </row>
    <row r="835" spans="2:24" x14ac:dyDescent="0.2">
      <c r="B835" s="17" t="s">
        <v>877</v>
      </c>
      <c r="C835" s="8">
        <v>10</v>
      </c>
      <c r="D835" s="11" t="s">
        <v>7</v>
      </c>
      <c r="E835" s="18">
        <v>70</v>
      </c>
      <c r="F835" s="12">
        <f t="shared" si="238"/>
        <v>700</v>
      </c>
      <c r="G835" s="23">
        <v>15</v>
      </c>
      <c r="H835" s="23">
        <v>17</v>
      </c>
      <c r="I835" s="23">
        <v>19</v>
      </c>
      <c r="V835" s="13"/>
      <c r="W835" s="13"/>
      <c r="X835" s="13"/>
    </row>
    <row r="836" spans="2:24" x14ac:dyDescent="0.2">
      <c r="B836" s="17" t="s">
        <v>878</v>
      </c>
      <c r="C836" s="8">
        <v>10</v>
      </c>
      <c r="D836" s="11" t="s">
        <v>7</v>
      </c>
      <c r="E836" s="18">
        <v>50</v>
      </c>
      <c r="F836" s="12">
        <f t="shared" si="238"/>
        <v>500</v>
      </c>
      <c r="G836" s="23">
        <v>10</v>
      </c>
      <c r="H836" s="23">
        <v>14</v>
      </c>
      <c r="I836" s="23">
        <v>18</v>
      </c>
      <c r="V836" s="13"/>
      <c r="W836" s="13"/>
      <c r="X836" s="13"/>
    </row>
    <row r="837" spans="2:24" x14ac:dyDescent="0.2">
      <c r="B837" s="17" t="s">
        <v>879</v>
      </c>
      <c r="C837" s="8">
        <v>10</v>
      </c>
      <c r="D837" s="11" t="s">
        <v>7</v>
      </c>
      <c r="E837" s="18">
        <v>15</v>
      </c>
      <c r="F837" s="12">
        <f t="shared" si="238"/>
        <v>150</v>
      </c>
      <c r="G837" s="23">
        <v>2</v>
      </c>
      <c r="H837" s="23">
        <v>4</v>
      </c>
      <c r="I837" s="23">
        <v>6</v>
      </c>
      <c r="V837" s="13"/>
      <c r="W837" s="13"/>
      <c r="X837" s="13"/>
    </row>
    <row r="838" spans="2:24" x14ac:dyDescent="0.2">
      <c r="B838" s="17" t="s">
        <v>880</v>
      </c>
      <c r="C838" s="8">
        <v>10</v>
      </c>
      <c r="D838" s="11" t="s">
        <v>7</v>
      </c>
      <c r="E838" s="18">
        <v>10</v>
      </c>
      <c r="F838" s="12">
        <f t="shared" si="238"/>
        <v>100</v>
      </c>
      <c r="G838" s="24">
        <v>3</v>
      </c>
      <c r="H838" s="23">
        <v>4.4000000000000004</v>
      </c>
      <c r="I838" s="23">
        <v>9</v>
      </c>
      <c r="V838" s="13"/>
      <c r="W838" s="13"/>
      <c r="X838" s="13"/>
    </row>
    <row r="839" spans="2:24" x14ac:dyDescent="0.2">
      <c r="B839" s="17" t="s">
        <v>881</v>
      </c>
      <c r="C839" s="8">
        <v>10</v>
      </c>
      <c r="D839" s="11" t="s">
        <v>7</v>
      </c>
      <c r="E839" s="18">
        <v>40</v>
      </c>
      <c r="F839" s="12">
        <f t="shared" si="238"/>
        <v>400</v>
      </c>
      <c r="G839" s="23">
        <v>5</v>
      </c>
      <c r="H839" s="23">
        <v>8</v>
      </c>
      <c r="I839" s="23">
        <v>10</v>
      </c>
      <c r="V839" s="13"/>
      <c r="W839" s="13"/>
      <c r="X839" s="13"/>
    </row>
    <row r="840" spans="2:24" x14ac:dyDescent="0.2">
      <c r="B840" s="25" t="s">
        <v>882</v>
      </c>
      <c r="C840" s="8">
        <v>10</v>
      </c>
      <c r="D840" s="11" t="s">
        <v>7</v>
      </c>
      <c r="E840" s="18">
        <v>100</v>
      </c>
      <c r="F840" s="12">
        <f t="shared" si="238"/>
        <v>1000</v>
      </c>
      <c r="G840" s="23">
        <v>10</v>
      </c>
      <c r="H840" s="23">
        <v>12.5</v>
      </c>
      <c r="I840" s="23">
        <v>15</v>
      </c>
      <c r="V840" s="13"/>
      <c r="W840" s="13"/>
      <c r="X840" s="13"/>
    </row>
    <row r="841" spans="2:24" x14ac:dyDescent="0.2">
      <c r="B841" s="26" t="s">
        <v>883</v>
      </c>
      <c r="C841" s="8">
        <v>10</v>
      </c>
      <c r="D841" s="11" t="s">
        <v>7</v>
      </c>
      <c r="E841" s="18">
        <v>20</v>
      </c>
      <c r="F841" s="12">
        <f t="shared" si="238"/>
        <v>200</v>
      </c>
      <c r="G841" s="23">
        <v>4</v>
      </c>
      <c r="H841" s="23">
        <v>5.5</v>
      </c>
      <c r="I841" s="23">
        <v>7</v>
      </c>
      <c r="V841" s="13"/>
      <c r="W841" s="13"/>
      <c r="X841" s="13"/>
    </row>
    <row r="842" spans="2:24" x14ac:dyDescent="0.2">
      <c r="B842" s="26" t="s">
        <v>884</v>
      </c>
      <c r="C842" s="8">
        <v>10</v>
      </c>
      <c r="D842" s="11" t="s">
        <v>7</v>
      </c>
      <c r="E842" s="18">
        <v>250</v>
      </c>
      <c r="F842" s="12">
        <f t="shared" si="238"/>
        <v>2500</v>
      </c>
      <c r="G842" s="23">
        <v>5</v>
      </c>
      <c r="H842" s="23">
        <v>7.5</v>
      </c>
      <c r="I842" s="24">
        <v>10</v>
      </c>
      <c r="V842" s="13"/>
      <c r="W842" s="13"/>
      <c r="X842" s="13"/>
    </row>
    <row r="843" spans="2:24" x14ac:dyDescent="0.2">
      <c r="B843" s="26" t="s">
        <v>885</v>
      </c>
      <c r="C843" s="8">
        <v>10</v>
      </c>
      <c r="D843" s="11" t="s">
        <v>7</v>
      </c>
      <c r="E843" s="18">
        <v>400</v>
      </c>
      <c r="F843" s="12">
        <f t="shared" si="238"/>
        <v>4000</v>
      </c>
      <c r="G843" s="23">
        <v>5</v>
      </c>
      <c r="H843" s="23">
        <v>10</v>
      </c>
      <c r="I843" s="23">
        <v>15</v>
      </c>
      <c r="V843" s="13"/>
      <c r="W843" s="13"/>
      <c r="X843" s="13"/>
    </row>
    <row r="844" spans="2:24" x14ac:dyDescent="0.2">
      <c r="B844" s="27" t="s">
        <v>886</v>
      </c>
      <c r="C844" s="8">
        <v>10</v>
      </c>
      <c r="D844" s="11" t="s">
        <v>7</v>
      </c>
      <c r="E844" s="18">
        <v>300</v>
      </c>
      <c r="F844" s="12">
        <f t="shared" si="238"/>
        <v>3000</v>
      </c>
      <c r="G844" s="28">
        <v>4</v>
      </c>
      <c r="H844" s="29">
        <v>7</v>
      </c>
      <c r="I844" s="29">
        <v>10</v>
      </c>
      <c r="V844" s="13"/>
      <c r="W844" s="13"/>
      <c r="X844" s="13"/>
    </row>
    <row r="845" spans="2:24" x14ac:dyDescent="0.2">
      <c r="B845" s="30" t="s">
        <v>887</v>
      </c>
      <c r="C845" s="8">
        <v>10</v>
      </c>
      <c r="D845" s="11" t="s">
        <v>7</v>
      </c>
      <c r="E845" s="18">
        <v>100</v>
      </c>
      <c r="F845" s="12">
        <f t="shared" si="238"/>
        <v>1000</v>
      </c>
      <c r="G845" s="23">
        <v>10</v>
      </c>
      <c r="H845" s="23">
        <v>15</v>
      </c>
      <c r="I845" s="23">
        <v>20</v>
      </c>
      <c r="V845" s="13"/>
      <c r="W845" s="13"/>
      <c r="X845" s="13"/>
    </row>
    <row r="846" spans="2:24" x14ac:dyDescent="0.2">
      <c r="B846" s="30" t="s">
        <v>888</v>
      </c>
      <c r="C846" s="8">
        <v>10</v>
      </c>
      <c r="D846" s="11" t="s">
        <v>7</v>
      </c>
      <c r="E846" s="18">
        <v>300</v>
      </c>
      <c r="F846" s="12">
        <f t="shared" si="238"/>
        <v>3000</v>
      </c>
      <c r="G846" s="23">
        <v>5</v>
      </c>
      <c r="H846" s="23">
        <v>10</v>
      </c>
      <c r="I846" s="23">
        <v>15</v>
      </c>
      <c r="V846" s="13"/>
      <c r="W846" s="13"/>
      <c r="X846" s="13"/>
    </row>
    <row r="847" spans="2:24" x14ac:dyDescent="0.2">
      <c r="B847" s="30" t="s">
        <v>889</v>
      </c>
      <c r="C847" s="8">
        <v>10</v>
      </c>
      <c r="D847" s="11" t="s">
        <v>7</v>
      </c>
      <c r="E847" s="18">
        <v>300</v>
      </c>
      <c r="F847" s="12">
        <f t="shared" si="238"/>
        <v>3000</v>
      </c>
      <c r="G847" s="23">
        <v>20</v>
      </c>
      <c r="H847" s="23">
        <v>40</v>
      </c>
      <c r="I847" s="23">
        <v>60</v>
      </c>
      <c r="V847" s="13"/>
      <c r="W847" s="13"/>
      <c r="X847" s="13"/>
    </row>
    <row r="848" spans="2:24" x14ac:dyDescent="0.2">
      <c r="B848" s="30" t="s">
        <v>890</v>
      </c>
      <c r="C848" s="8">
        <v>10</v>
      </c>
      <c r="D848" s="11" t="s">
        <v>7</v>
      </c>
      <c r="E848" s="18">
        <v>50</v>
      </c>
      <c r="F848" s="12">
        <f t="shared" si="238"/>
        <v>500</v>
      </c>
      <c r="G848" s="23">
        <v>3</v>
      </c>
      <c r="H848" s="23">
        <v>5</v>
      </c>
      <c r="I848" s="23">
        <v>7.4</v>
      </c>
      <c r="V848" s="13"/>
      <c r="W848" s="13"/>
      <c r="X848" s="13"/>
    </row>
    <row r="849" spans="2:24" x14ac:dyDescent="0.2">
      <c r="B849" s="30" t="s">
        <v>891</v>
      </c>
      <c r="C849" s="8">
        <v>10</v>
      </c>
      <c r="D849" s="11" t="s">
        <v>7</v>
      </c>
      <c r="E849" s="18">
        <v>50</v>
      </c>
      <c r="F849" s="12">
        <f t="shared" si="238"/>
        <v>500</v>
      </c>
      <c r="G849" s="23">
        <v>5</v>
      </c>
      <c r="H849" s="23">
        <v>7.5</v>
      </c>
      <c r="I849" s="23">
        <v>10</v>
      </c>
      <c r="V849" s="13"/>
      <c r="W849" s="13"/>
      <c r="X849" s="13"/>
    </row>
    <row r="850" spans="2:24" x14ac:dyDescent="0.2">
      <c r="B850" s="30" t="s">
        <v>892</v>
      </c>
      <c r="C850" s="8">
        <v>10</v>
      </c>
      <c r="D850" s="11" t="s">
        <v>7</v>
      </c>
      <c r="E850" s="18">
        <v>400</v>
      </c>
      <c r="F850" s="12">
        <f t="shared" si="238"/>
        <v>4000</v>
      </c>
      <c r="G850" s="23">
        <v>5</v>
      </c>
      <c r="H850" s="23">
        <v>10</v>
      </c>
      <c r="I850" s="23">
        <v>15</v>
      </c>
      <c r="V850" s="13"/>
      <c r="W850" s="13"/>
      <c r="X850" s="13"/>
    </row>
    <row r="851" spans="2:24" ht="16" x14ac:dyDescent="0.2">
      <c r="B851" s="31" t="s">
        <v>893</v>
      </c>
      <c r="C851" s="8">
        <v>10</v>
      </c>
      <c r="D851" s="11" t="s">
        <v>7</v>
      </c>
      <c r="E851" s="12">
        <v>420</v>
      </c>
      <c r="F851" s="12">
        <f t="shared" si="238"/>
        <v>4200</v>
      </c>
      <c r="G851" s="23">
        <v>1</v>
      </c>
      <c r="H851" s="23">
        <v>1</v>
      </c>
      <c r="I851" s="23">
        <v>1</v>
      </c>
      <c r="J851" s="55">
        <f>F851/1.9</f>
        <v>2210.5263157894738</v>
      </c>
      <c r="V851" s="13"/>
      <c r="W851" s="13"/>
      <c r="X851" s="13"/>
    </row>
    <row r="852" spans="2:24" ht="16" x14ac:dyDescent="0.2">
      <c r="B852" s="31" t="s">
        <v>894</v>
      </c>
      <c r="C852" s="8">
        <v>10</v>
      </c>
      <c r="D852" s="11" t="s">
        <v>7</v>
      </c>
      <c r="E852" s="12">
        <v>1020</v>
      </c>
      <c r="F852" s="12">
        <f t="shared" si="238"/>
        <v>10200</v>
      </c>
      <c r="G852" s="23">
        <v>1</v>
      </c>
      <c r="H852" s="23">
        <v>1</v>
      </c>
      <c r="I852" s="23">
        <v>1</v>
      </c>
      <c r="V852" s="13"/>
      <c r="W852" s="13"/>
      <c r="X852" s="13"/>
    </row>
  </sheetData>
  <hyperlinks>
    <hyperlink ref="C215" r:id="rId1" xr:uid="{57BBE7D2-4AF9-F046-8B9C-5E67C10D91B4}"/>
    <hyperlink ref="L249" r:id="rId2" xr:uid="{C9443EF0-983D-6344-9B3A-25F22D23063E}"/>
    <hyperlink ref="L420" r:id="rId3" xr:uid="{DABF8BBD-2538-8848-A2B1-063E979C09DB}"/>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66D9A-4648-5E42-9409-334C3C8ADADE}">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Labelled data</vt:lpstr>
      <vt:lpstr>Money investment</vt:lpstr>
      <vt:lpstr>Energy investment</vt:lpstr>
      <vt:lpstr>Carbon inventory</vt:lpstr>
      <vt:lpstr>Sheet1</vt:lpstr>
    </vt:vector>
  </TitlesOfParts>
  <Company>Midas Group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Porter</dc:creator>
  <cp:lastModifiedBy>Feiruzi, Aibibula (Postgraduate Researcher)</cp:lastModifiedBy>
  <dcterms:created xsi:type="dcterms:W3CDTF">2016-12-05T09:45:05Z</dcterms:created>
  <dcterms:modified xsi:type="dcterms:W3CDTF">2024-06-05T15:40:07Z</dcterms:modified>
</cp:coreProperties>
</file>