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ARN/Drift Calculations/2022/"/>
    </mc:Choice>
  </mc:AlternateContent>
  <xr:revisionPtr revIDLastSave="36" documentId="8_{6F982841-11DB-4C49-95BB-BA921AE494FB}" xr6:coauthVersionLast="47" xr6:coauthVersionMax="47" xr10:uidLastSave="{E8B24DB4-9C5F-4DD2-9BEF-BAB21E7D360B}"/>
  <bookViews>
    <workbookView xWindow="1140" yWindow="93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<sst xmlns="http://schemas.openxmlformats.org/spreadsheetml/2006/main" count="119" uniqueCount="78">
  <si>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</si>
  <si>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</si>
  <si>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</si>
  <si>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</si>
  <si>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</si>
  <si>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</si>
  <si>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</si>
  <si>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</si>
  <si>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</si>
  <si>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</si>
  <si>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</si>
  <si>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</si>
  <si>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</si>
  <si>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</si>
  <si>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</si>
  <si>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</si>
  <si>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</si>
  <si>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</si>
  <si>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</si>
  <si>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</si>
  <si>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</si>
  <si>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</si>
  <si>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</si>
  <si>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</si>
  <si>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</si>
  <si>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</si>
  <si>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</si>
  <si>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</si>
  <si>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</si>
  <si>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</si>
  <si>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</si>
  <si>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</si>
  <si>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</si>
  <si>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</si>
  <si>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</si>
  <si>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</si>
  <si>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</si>
  <si>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</si>
  <si>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</si>
  <si>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</si>
  <si>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</si>
  <si>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</si>
  <si>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</si>
  <si>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</si>
  <si>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</si>
  <si>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</si>
  <si>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</si>
  <si>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</si>
  <si>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</si>
  <si>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</si>
  <si>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</si>
  <si>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</si>
  <si>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</si>
  <si>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</si>
  <si>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</si>
  <si>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</si>
  <si>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</si>
  <si>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</si>
  <si>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</si>
  <si>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</si>
  <si>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</si>
  <si>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</si>
  <si>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</si>
  <si>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</si>
  <si>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</si>
  <si>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</si>
  <si>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</si>
  <si>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</si>
  <si>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</si>
  <si>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</si>
  <si>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</si>
  <si>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</si>
  <si>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</si>
  <si>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Arnold</t>
  </si>
  <si>
    <t>Thomas</t>
  </si>
  <si>
    <t>Division of Intergrated Science &amp; Engineering - Tidal Habitat Restoration (THR)</t>
  </si>
  <si>
    <t>THR-9</t>
  </si>
  <si>
    <t>ProDSS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</si>
</sst>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7" zoomScale="120" zoomScaleNormal="120" zoomScaleSheetLayoutView="100" workbookViewId="0">
      <selection activeCell="H29" sqref="H29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0.7265625" bestFit="1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75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76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73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15.58</v>
      </c>
      <c r="G12" s="2">
        <v>15.5</v>
      </c>
      <c r="H12" s="1">
        <v>15.75</v>
      </c>
      <c r="I12" s="2">
        <v>15.7</v>
      </c>
      <c r="J12" s="26">
        <f>IF(COUNT(F12:I12)=4,(H12-F12)-(I12-G12),0)</f>
        <v>-2.9999999999999361E-2</v>
      </c>
      <c r="K12" s="20"/>
      <c r="L12" s="20"/>
      <c r="M12" s="118" t="s">
        <v>11</v>
      </c>
      <c r="N12" s="118"/>
      <c r="O12" s="6" t="s">
        <v>74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2518</v>
      </c>
      <c r="G13" s="4">
        <v>2523</v>
      </c>
      <c r="H13" s="3">
        <v>2477</v>
      </c>
      <c r="I13" s="4">
        <v>2480</v>
      </c>
      <c r="J13" s="29">
        <f>IF(COUNT(F13:I13)=4,((H13-F13)-(I13-G13))/F13,0)</f>
        <v>7.9428117553613975E-4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10.49</v>
      </c>
      <c r="G14" s="124">
        <v>10.34</v>
      </c>
      <c r="H14" s="122">
        <v>10.8</v>
      </c>
      <c r="I14" s="124">
        <v>10.71</v>
      </c>
      <c r="J14" s="30">
        <f>IF(COUNT(F14:I15)=4,(H14-F14)-(I14-G14),0)</f>
        <v>-6.0000000000000497E-2</v>
      </c>
      <c r="K14" s="20"/>
      <c r="L14" s="75"/>
      <c r="M14" s="118" t="s">
        <v>17</v>
      </c>
      <c r="N14" s="118"/>
      <c r="O14" s="7">
        <v>44621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-5.7197330791230218E-3</v>
      </c>
      <c r="K15" s="20"/>
      <c r="L15" s="75"/>
      <c r="M15" s="117" t="s">
        <v>18</v>
      </c>
      <c r="N15" s="117"/>
      <c r="O15" s="72">
        <v>0.53472222222222221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/>
      <c r="G16" s="4"/>
      <c r="H16" s="8"/>
      <c r="I16" s="4"/>
      <c r="J16" s="32">
        <f>IF(COUNT(F16:I16)=4,(H16-F16)-(I16-G16),0)</f>
        <v>0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23.32</v>
      </c>
      <c r="G17" s="124">
        <v>23.25</v>
      </c>
      <c r="H17" s="122">
        <v>23.15</v>
      </c>
      <c r="I17" s="124">
        <v>23.88</v>
      </c>
      <c r="J17" s="30">
        <f>IF(COUNT(F17:I17)=4,(H17-F17)-(I17-G17),0)</f>
        <v>-0.80000000000000071</v>
      </c>
      <c r="K17" s="20"/>
      <c r="L17" s="75"/>
      <c r="M17" s="118" t="s">
        <v>23</v>
      </c>
      <c r="N17" s="118"/>
      <c r="O17" s="7">
        <v>44621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-3.4305317324185278E-2</v>
      </c>
      <c r="K18" s="20"/>
      <c r="L18" s="75"/>
      <c r="M18" s="117" t="s">
        <v>24</v>
      </c>
      <c r="N18" s="117"/>
      <c r="O18" s="72">
        <v>0.61458333333333337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74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20.32</v>
      </c>
      <c r="G22" s="12">
        <v>20.52</v>
      </c>
      <c r="H22" s="44">
        <f>IF(OR(F22="",G22=""),0,F22-G22)</f>
        <v>-0.19999999999999929</v>
      </c>
      <c r="I22" s="45">
        <f>IFERROR(ROUND(ABS(J12)+ABS(H22),2),0)</f>
        <v>0.23</v>
      </c>
      <c r="J22" s="46" t="str">
        <f>IF(COUNT(F12:I12,F22:G22)&lt;6,"",IF(ABS(I22)&lt;=Information!D4,"Excellent",IF(ABS(I22)&lt;=Information!E4,"Good",IF(ABS(I22)&lt;=Information!F4,"Fair",IF(I22&lt;=Information!G4,"Poor","Max. Limit")))))</f>
        <v>Good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6157.7</v>
      </c>
      <c r="H23" s="49">
        <f>IF(OR(F23="",G23=""),0,(F23-G23)/G23)</f>
        <v>1.0933140620686297</v>
      </c>
      <c r="I23" s="50">
        <f>IFERROR(ROUND(ABS(J13)+ABS(H23),4),0)</f>
        <v>1.0941000000000001</v>
      </c>
      <c r="J23" s="51" t="str">
        <f>IF(COUNT(F13:I13,F23:G23)&lt;6,"",IF(ABS(I23)&lt;=Information!D5,"Excellent",IF(ABS(I23)&lt;Information!E5,"Good",IF(ABS(I23)&lt;Information!F5,"Fair",IF(I23&lt;=Information!G5,"Poor","Max. Limit")))))</f>
        <v>Max. Limit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9.35</v>
      </c>
      <c r="G24" s="105">
        <v>9.5</v>
      </c>
      <c r="H24" s="52">
        <f>IF(OR(F24="",G24=""),0,F24-G24)</f>
        <v>-0.15000000000000036</v>
      </c>
      <c r="I24" s="53">
        <f>IFERROR(ROUND(ABS(J14)+ABS(H24),2),0)</f>
        <v>0.21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-1.5789473684210565E-2</v>
      </c>
      <c r="I25" s="55">
        <f>IFERROR(ROUND(ABS(J15)+ABS(H25),4),0)</f>
        <v>2.1499999999999998E-2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/>
      <c r="G26" s="13"/>
      <c r="H26" s="56">
        <f>IF(OR(F26="",G26=""),0,F26-G26)</f>
        <v>0</v>
      </c>
      <c r="I26" s="87">
        <f>IFERROR(ROUND(ABS(J16)+(ABS(H26)+ABS(H27))/2,2),0)</f>
        <v>0</v>
      </c>
      <c r="J26" s="89" t="str">
        <f>IF(COUNT(F16:I16,F26:G27)&lt;8,"",IF(ABS(I26)&lt;=Information!D8,"Excellent",IF(ABS(I26)&lt;=Information!E8,"Good",IF(ABS(I26)&lt;=Information!F8,"Fair",IF(I26&lt;=Information!G8,"Poor","Max. Limit")))))</f>
        <v/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/>
      <c r="G27" s="13"/>
      <c r="H27" s="56">
        <f>IF(OR(F27="",G27=""),0,F27-G27)</f>
        <v>0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0.05</v>
      </c>
      <c r="H28" s="56">
        <f>IF(OR(F28="",G28=""),0,F28-G28)</f>
        <v>-0.05</v>
      </c>
      <c r="I28" s="57">
        <f>IFERROR(ROUND(ABS(J17)+AVERAGE(ABS(H28),ABS(H29)),2),0)</f>
        <v>1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124.35</v>
      </c>
      <c r="H29" s="58">
        <f>IF(OR(F29="",G29=""),0,F29-G29)</f>
        <v>-0.34999999999999432</v>
      </c>
      <c r="I29" s="59">
        <f>IFERROR(ROUND(ABS(J18)+ABS((H29)/G29),4),0)</f>
        <v>3.7100000000000001E-2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468843-BF0A-4FE9-B460-D0F6BCED19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2023-12-04T23:38:00Z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