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ARN/Drift Calculations/2022/"/>
    </mc:Choice>
  </mc:AlternateContent>
  <xr:revisionPtr revIDLastSave="36" documentId="8_{0CD3273B-1B40-4EA5-8719-100ECDC7C79D}" xr6:coauthVersionLast="47" xr6:coauthVersionMax="47" xr10:uidLastSave="{7DCBD385-E778-47D3-8E4F-DFDA01CEA1A2}"/>
  <bookViews>
    <workbookView xWindow="330" yWindow="47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<sst xmlns="http://schemas.openxmlformats.org/spreadsheetml/2006/main" count="119" uniqueCount="79">
  <si>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</si>
  <si>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</si>
  <si>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</si>
  <si>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</si>
  <si>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</si>
  <si>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</si>
  <si>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</si>
  <si>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</si>
  <si>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</si>
  <si>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</si>
  <si>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</si>
  <si>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</si>
  <si>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</si>
  <si>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</si>
  <si>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</si>
  <si>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</si>
  <si>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</si>
  <si>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</si>
  <si>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</si>
  <si>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</si>
  <si>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</si>
  <si>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</si>
  <si>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</si>
  <si>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</si>
  <si>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</si>
  <si>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</si>
  <si>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</si>
  <si>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</si>
  <si>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</si>
  <si>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</si>
  <si>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</si>
  <si>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</si>
  <si>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</si>
  <si>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</si>
  <si>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</si>
  <si>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</si>
  <si>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</si>
  <si>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</si>
  <si>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</si>
  <si>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</si>
  <si>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</si>
  <si>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</si>
  <si>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</si>
  <si>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</si>
  <si>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</si>
  <si>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</si>
  <si>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</si>
  <si>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</si>
  <si>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</si>
  <si>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</si>
  <si>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</si>
  <si>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</si>
  <si>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</si>
  <si>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</si>
  <si>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</si>
  <si>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</si>
  <si>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</si>
  <si>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</si>
  <si>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</si>
  <si>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</si>
  <si>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</si>
  <si>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</si>
  <si>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</si>
  <si>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</si>
  <si>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</si>
  <si>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</si>
  <si>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</si>
  <si>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</si>
  <si>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</si>
  <si>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</si>
  <si>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</si>
  <si>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</si>
  <si>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</si>
  <si>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</si>
  <si>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THR-8</t>
  </si>
  <si>
    <t>Arnold</t>
  </si>
  <si>
    <t>Thomas/Linarez</t>
  </si>
  <si>
    <t>THR-11</t>
  </si>
  <si>
    <t>Linarez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</si>
</sst>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wrapText="1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0" fillId="3" borderId="33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5" fillId="3" borderId="0" xfId="0" applyFont="1" applyFill="1" applyAlignment="1">
      <alignment horizontal="center" wrapText="1"/>
    </xf>
    <xf numFmtId="0" fontId="0" fillId="3" borderId="29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3" borderId="33" xfId="0" applyFill="1" applyBorder="1" applyAlignment="1">
      <alignment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19" zoomScale="120" zoomScaleNormal="120" zoomScaleSheetLayoutView="100" workbookViewId="0">
      <selection activeCell="D33" sqref="D33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0.7265625" bestFit="1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80" t="s">
        <v>0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81" t="s">
        <v>1</v>
      </c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81" t="s">
        <v>73</v>
      </c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82"/>
      <c r="O9" s="82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83" t="s">
        <v>2</v>
      </c>
      <c r="G10" s="84"/>
      <c r="H10" s="83" t="s">
        <v>3</v>
      </c>
      <c r="I10" s="85"/>
      <c r="J10" s="86" t="s">
        <v>4</v>
      </c>
      <c r="K10" s="20"/>
      <c r="L10" s="75"/>
      <c r="M10" s="88" t="s">
        <v>5</v>
      </c>
      <c r="N10" s="8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87"/>
      <c r="K11" s="20"/>
      <c r="L11" s="75"/>
      <c r="M11" s="88" t="s">
        <v>8</v>
      </c>
      <c r="N11" s="8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21.05</v>
      </c>
      <c r="G12" s="2">
        <v>21.09</v>
      </c>
      <c r="H12" s="1">
        <v>14.56</v>
      </c>
      <c r="I12" s="2">
        <v>19.5</v>
      </c>
      <c r="J12" s="26">
        <f>IF(COUNT(F12:I12)=4,(H12-F12)-(I12-G12),0)</f>
        <v>-4.9000000000000004</v>
      </c>
      <c r="K12" s="20"/>
      <c r="L12" s="20"/>
      <c r="M12" s="88" t="s">
        <v>11</v>
      </c>
      <c r="N12" s="8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5480</v>
      </c>
      <c r="G13" s="4">
        <v>5534</v>
      </c>
      <c r="H13" s="3">
        <v>5397</v>
      </c>
      <c r="I13" s="4">
        <v>5438</v>
      </c>
      <c r="J13" s="29">
        <f>IF(COUNT(F13:I13)=4,((H13-F13)-(I13-G13))/F13,0)</f>
        <v>2.3722627737226276E-3</v>
      </c>
      <c r="K13" s="20"/>
      <c r="L13" s="75"/>
      <c r="M13" s="89" t="s">
        <v>14</v>
      </c>
      <c r="N13" s="89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90" t="s">
        <v>15</v>
      </c>
      <c r="E14" s="92" t="s">
        <v>16</v>
      </c>
      <c r="F14" s="94">
        <v>5.56</v>
      </c>
      <c r="G14" s="96">
        <v>5.91</v>
      </c>
      <c r="H14" s="94">
        <v>5.58</v>
      </c>
      <c r="I14" s="96">
        <v>5.53</v>
      </c>
      <c r="J14" s="30">
        <f>IF(COUNT(F14:I15)=4,(H14-F14)-(I14-G14),0)</f>
        <v>0.40000000000000036</v>
      </c>
      <c r="K14" s="20"/>
      <c r="L14" s="75"/>
      <c r="M14" s="88" t="s">
        <v>17</v>
      </c>
      <c r="N14" s="88"/>
      <c r="O14" s="7">
        <v>44658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91"/>
      <c r="E15" s="93"/>
      <c r="F15" s="95"/>
      <c r="G15" s="97"/>
      <c r="H15" s="95"/>
      <c r="I15" s="97"/>
      <c r="J15" s="31">
        <f>IF(COUNT($F$14:$I$15)=4,(($H$14-$F$14)-($I$14-$G$14))/$F$14,0)</f>
        <v>7.1942446043165534E-2</v>
      </c>
      <c r="K15" s="20"/>
      <c r="L15" s="75"/>
      <c r="M15" s="89" t="s">
        <v>18</v>
      </c>
      <c r="N15" s="89"/>
      <c r="O15" s="72">
        <v>0.51250000000000007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/>
      <c r="G16" s="4"/>
      <c r="H16" s="8"/>
      <c r="I16" s="4"/>
      <c r="J16" s="32">
        <f>IF(COUNT(F16:I16)=4,(H16-F16)-(I16-G16),0)</f>
        <v>0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90" t="s">
        <v>21</v>
      </c>
      <c r="E17" s="92" t="s">
        <v>22</v>
      </c>
      <c r="F17" s="94">
        <v>27.78</v>
      </c>
      <c r="G17" s="96">
        <v>25.92</v>
      </c>
      <c r="H17" s="94">
        <v>25.2</v>
      </c>
      <c r="I17" s="96">
        <v>23.82</v>
      </c>
      <c r="J17" s="30">
        <f>IF(COUNT(F17:I17)=4,(H17-F17)-(I17-G17),0)</f>
        <v>-0.48000000000000043</v>
      </c>
      <c r="K17" s="20"/>
      <c r="L17" s="75"/>
      <c r="M17" s="88" t="s">
        <v>23</v>
      </c>
      <c r="N17" s="88"/>
      <c r="O17" s="7">
        <v>44658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00"/>
      <c r="E18" s="101"/>
      <c r="F18" s="102"/>
      <c r="G18" s="103"/>
      <c r="H18" s="102"/>
      <c r="I18" s="103"/>
      <c r="J18" s="33">
        <f>IF(COUNT($F$17:$I$18)=4,(($H$17-$F$17)-($I$17-$G$17))/$F$17,0)</f>
        <v>-1.7278617710583168E-2</v>
      </c>
      <c r="K18" s="20"/>
      <c r="L18" s="75"/>
      <c r="M18" s="89" t="s">
        <v>24</v>
      </c>
      <c r="N18" s="89"/>
      <c r="O18" s="72">
        <v>0.625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89" t="s">
        <v>25</v>
      </c>
      <c r="N19" s="89"/>
      <c r="O19" s="71" t="s">
        <v>78</v>
      </c>
      <c r="P19" s="104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83" t="s">
        <v>26</v>
      </c>
      <c r="G20" s="84"/>
      <c r="H20" s="121" t="s">
        <v>27</v>
      </c>
      <c r="I20" s="123" t="s">
        <v>28</v>
      </c>
      <c r="J20" s="98" t="s">
        <v>29</v>
      </c>
      <c r="K20" s="20"/>
      <c r="L20" s="75"/>
      <c r="M20" s="75"/>
      <c r="N20" s="75"/>
      <c r="O20" s="20"/>
      <c r="P20" s="104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22"/>
      <c r="I21" s="124"/>
      <c r="J21" s="99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21.09</v>
      </c>
      <c r="G22" s="12">
        <v>21.1</v>
      </c>
      <c r="H22" s="44">
        <f>IF(OR(F22="",G22=""),0,F22-G22)</f>
        <v>-1.0000000000001563E-2</v>
      </c>
      <c r="I22" s="45">
        <f>IFERROR(ROUND(ABS(J12)+ABS(H22),2),0)</f>
        <v>4.91</v>
      </c>
      <c r="J22" s="46" t="str">
        <f>IF(COUNT(F12:I12,F22:G22)&lt;6,"",IF(ABS(I22)&lt;=Information!D4,"Excellent",IF(ABS(I22)&lt;=Information!E4,"Good",IF(ABS(I22)&lt;=Information!F4,"Fair",IF(I22&lt;=Information!G4,"Poor","Max. Limit")))))</f>
        <v>Max. Limit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12927</v>
      </c>
      <c r="H23" s="49">
        <f>IF(OR(F23="",G23=""),0,(F23-G23)/G23)</f>
        <v>-2.8622263479538951E-3</v>
      </c>
      <c r="I23" s="50">
        <f>IFERROR(ROUND(ABS(J13)+ABS(H23),4),0)</f>
        <v>5.1999999999999998E-3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105" t="s">
        <v>15</v>
      </c>
      <c r="E24" s="92" t="s">
        <v>16</v>
      </c>
      <c r="F24" s="113">
        <v>9.2799999999999994</v>
      </c>
      <c r="G24" s="115">
        <v>9.26</v>
      </c>
      <c r="H24" s="52">
        <f>IF(OR(F24="",G24=""),0,F24-G24)</f>
        <v>1.9999999999999574E-2</v>
      </c>
      <c r="I24" s="53">
        <f>IFERROR(ROUND(ABS(J14)+ABS(H24),2),0)</f>
        <v>0.42</v>
      </c>
      <c r="J24" s="11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Good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110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112"/>
      <c r="E25" s="93"/>
      <c r="F25" s="114"/>
      <c r="G25" s="116"/>
      <c r="H25" s="54">
        <f>IF(OR(F24="",G24=""),0,(F24-G24)/G24)</f>
        <v>2.1598272138228483E-3</v>
      </c>
      <c r="I25" s="55">
        <f>IFERROR(ROUND(ABS(J15)+ABS(H25),4),0)</f>
        <v>7.4099999999999999E-2</v>
      </c>
      <c r="J25" s="11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110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105" t="s">
        <v>19</v>
      </c>
      <c r="E26" s="92" t="s">
        <v>20</v>
      </c>
      <c r="F26" s="61"/>
      <c r="G26" s="13"/>
      <c r="H26" s="56">
        <f>IF(OR(F26="",G26=""),0,F26-G26)</f>
        <v>0</v>
      </c>
      <c r="I26" s="127">
        <f>IFERROR(ROUND(ABS(J16)+(ABS(H26)+ABS(H27))/2,2),0)</f>
        <v>0</v>
      </c>
      <c r="J26" s="108" t="str">
        <f>IF(COUNT(F16:I16,F26:G27)&lt;8,"",IF(ABS(I26)&lt;=Information!D8,"Excellent",IF(ABS(I26)&lt;=Information!E8,"Good",IF(ABS(I26)&lt;=Information!F8,"Fair",IF(I26&lt;=Information!G8,"Poor","Max. Limit")))))</f>
        <v/>
      </c>
      <c r="K26" s="20"/>
      <c r="L26" s="119" t="s">
        <v>35</v>
      </c>
      <c r="M26" s="111" t="s">
        <v>36</v>
      </c>
      <c r="N26" s="111" t="s">
        <v>37</v>
      </c>
      <c r="O26" s="111" t="s">
        <v>38</v>
      </c>
      <c r="P26" s="119" t="s">
        <v>39</v>
      </c>
      <c r="Q26" s="110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112"/>
      <c r="E27" s="93"/>
      <c r="F27" s="61"/>
      <c r="G27" s="13"/>
      <c r="H27" s="56">
        <f>IF(OR(F27="",G27=""),0,F27-G27)</f>
        <v>0</v>
      </c>
      <c r="I27" s="128"/>
      <c r="J27" s="109"/>
      <c r="K27" s="20"/>
      <c r="L27" s="120"/>
      <c r="M27" s="111"/>
      <c r="N27" s="111"/>
      <c r="O27" s="111"/>
      <c r="P27" s="120"/>
      <c r="Q27" s="110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105" t="s">
        <v>21</v>
      </c>
      <c r="E28" s="92" t="s">
        <v>22</v>
      </c>
      <c r="F28" s="61">
        <v>0</v>
      </c>
      <c r="G28" s="13">
        <v>0</v>
      </c>
      <c r="H28" s="56">
        <f>IF(OR(F28="",G28=""),0,F28-G28)</f>
        <v>0</v>
      </c>
      <c r="I28" s="57">
        <f>IFERROR(ROUND(ABS(J17)+AVERAGE(ABS(H28),ABS(H29)),2),0)</f>
        <v>1.68</v>
      </c>
      <c r="J28" s="108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110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6"/>
      <c r="E29" s="107"/>
      <c r="F29" s="11">
        <v>124</v>
      </c>
      <c r="G29" s="14">
        <v>121.6</v>
      </c>
      <c r="H29" s="58">
        <f>IF(OR(F29="",G29=""),0,F29-G29)</f>
        <v>2.4000000000000057</v>
      </c>
      <c r="I29" s="59">
        <f>IFERROR(ROUND(ABS(J18)+ABS((H29)/G29),4),0)</f>
        <v>3.6999999999999998E-2</v>
      </c>
      <c r="J29" s="109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110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125" t="s">
        <v>60</v>
      </c>
      <c r="E31" s="129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1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126"/>
      <c r="E32" s="132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4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D4:Q5"/>
    <mergeCell ref="D6:Q6"/>
    <mergeCell ref="D7:Q7"/>
    <mergeCell ref="N9:O9"/>
    <mergeCell ref="F10:G10"/>
    <mergeCell ref="H10:I10"/>
    <mergeCell ref="J10:J11"/>
    <mergeCell ref="M10:N10"/>
    <mergeCell ref="M11:N11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2.xml><?xml version="1.0" encoding="utf-8"?>
<ds:datastoreItem xmlns:ds="http://schemas.openxmlformats.org/officeDocument/2006/customXml" ds:itemID="{2D56FABE-AA7E-46D2-A62F-80FBA9BEB9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2023-12-04T23:42:32Z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