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ARN/Drift Calculations/2022/"/>
    </mc:Choice>
  </mc:AlternateContent>
  <xr:revisionPtr revIDLastSave="0" documentId="8_{A9C05406-4B13-4A77-AFCB-6B45C3D7BBEE}" xr6:coauthVersionLast="47" xr6:coauthVersionMax="47" xr10:uidLastSave="{00000000-0000-0000-0000-000000000000}"/>
  <bookViews>
    <workbookView xWindow="760" yWindow="76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<sst xmlns="http://schemas.openxmlformats.org/spreadsheetml/2006/main" count="119" uniqueCount="79">
  <si>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</si>
  <si>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</si>
  <si>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</si>
  <si>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</si>
  <si>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</si>
  <si>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</si>
  <si>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</si>
  <si>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</si>
  <si>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</si>
  <si>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</si>
  <si>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</si>
  <si>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</si>
  <si>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</si>
  <si>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</si>
  <si>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</si>
  <si>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</si>
  <si>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</si>
  <si>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</si>
  <si>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</si>
  <si>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</si>
  <si>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</si>
  <si>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</si>
  <si>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</si>
  <si>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</si>
  <si>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</si>
  <si>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</si>
  <si>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</si>
  <si>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</si>
  <si>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</si>
  <si>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</si>
  <si>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</si>
  <si>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</si>
  <si>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</si>
  <si>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</si>
  <si>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</si>
  <si>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</si>
  <si>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</si>
  <si>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</si>
  <si>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</si>
  <si>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</si>
  <si>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</si>
  <si>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</si>
  <si>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</si>
  <si>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</si>
  <si>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</si>
  <si>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</si>
  <si>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</si>
  <si>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</si>
  <si>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</si>
  <si>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</si>
  <si>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</si>
  <si>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</si>
  <si>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</si>
  <si>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</si>
  <si>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</si>
  <si>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</si>
  <si>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</si>
  <si>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</si>
  <si>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</si>
  <si>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</si>
  <si>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</si>
  <si>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</si>
  <si>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</si>
  <si>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</si>
  <si>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</si>
  <si>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</si>
  <si>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</si>
  <si>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</si>
  <si>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</si>
  <si>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</si>
  <si>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</si>
  <si>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</si>
  <si>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</si>
  <si>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THR-8</t>
  </si>
  <si>
    <t>Arnold</t>
  </si>
  <si>
    <t>Thomas</t>
  </si>
  <si>
    <t>CDFW 2</t>
  </si>
  <si>
    <t>Linarez</t>
  </si>
  <si>
    <t>Division of Intergrated Science &amp; Engineering - Tidal Habitat Restoration (THR)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</si>
</sst>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8" zoomScale="120" zoomScaleNormal="120" zoomScaleSheetLayoutView="100" workbookViewId="0">
      <selection activeCell="L19" sqref="L19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0.7265625" bestFit="1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78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73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74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10.87</v>
      </c>
      <c r="G12" s="2">
        <v>10.9</v>
      </c>
      <c r="H12" s="1">
        <v>10.91</v>
      </c>
      <c r="I12" s="2">
        <v>10.9</v>
      </c>
      <c r="J12" s="26">
        <f>IF(COUNT(F12:I12)=4,(H12-F12)-(I12-G12),0)</f>
        <v>4.0000000000000924E-2</v>
      </c>
      <c r="K12" s="20"/>
      <c r="L12" s="20"/>
      <c r="M12" s="118" t="s">
        <v>11</v>
      </c>
      <c r="N12" s="118"/>
      <c r="O12" s="6" t="s">
        <v>75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4527</v>
      </c>
      <c r="G13" s="4">
        <v>4536</v>
      </c>
      <c r="H13" s="3">
        <v>4527</v>
      </c>
      <c r="I13" s="4">
        <v>4537</v>
      </c>
      <c r="J13" s="29">
        <f>IF(COUNT(F13:I13)=4,((H13-F13)-(I13-G13))/F13,0)</f>
        <v>-2.2089684117517121E-4</v>
      </c>
      <c r="K13" s="20"/>
      <c r="L13" s="75"/>
      <c r="M13" s="117" t="s">
        <v>14</v>
      </c>
      <c r="N13" s="117"/>
      <c r="O13" s="6" t="s">
        <v>76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9.4499999999999993</v>
      </c>
      <c r="G14" s="124">
        <v>9.44</v>
      </c>
      <c r="H14" s="122">
        <v>9.26</v>
      </c>
      <c r="I14" s="124">
        <v>9.18</v>
      </c>
      <c r="J14" s="30">
        <f>IF(COUNT(F14:I15)=4,(H14-F14)-(I14-G14),0)</f>
        <v>7.0000000000000284E-2</v>
      </c>
      <c r="K14" s="20"/>
      <c r="L14" s="75"/>
      <c r="M14" s="118" t="s">
        <v>17</v>
      </c>
      <c r="N14" s="118"/>
      <c r="O14" s="7">
        <v>44587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7.407407407407438E-3</v>
      </c>
      <c r="K15" s="20"/>
      <c r="L15" s="75"/>
      <c r="M15" s="117" t="s">
        <v>18</v>
      </c>
      <c r="N15" s="117"/>
      <c r="O15" s="72">
        <v>0.49305555555555558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/>
      <c r="G16" s="4"/>
      <c r="H16" s="8"/>
      <c r="I16" s="4"/>
      <c r="J16" s="32">
        <f>IF(COUNT(F16:I16)=4,(H16-F16)-(I16-G16),0)</f>
        <v>0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22.92</v>
      </c>
      <c r="G17" s="124">
        <v>23.76</v>
      </c>
      <c r="H17" s="122">
        <v>22.05</v>
      </c>
      <c r="I17" s="124">
        <v>20.89</v>
      </c>
      <c r="J17" s="30">
        <f>IF(COUNT(F17:I17)=4,(H17-F17)-(I17-G17),0)</f>
        <v>2</v>
      </c>
      <c r="K17" s="20"/>
      <c r="L17" s="75"/>
      <c r="M17" s="118" t="s">
        <v>23</v>
      </c>
      <c r="N17" s="118"/>
      <c r="O17" s="7">
        <v>44587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8.7260034904013961E-2</v>
      </c>
      <c r="K18" s="20"/>
      <c r="L18" s="75"/>
      <c r="M18" s="117" t="s">
        <v>24</v>
      </c>
      <c r="N18" s="117"/>
      <c r="O18" s="72">
        <v>0.61458333333333337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77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21.01</v>
      </c>
      <c r="G22" s="12">
        <v>20.95</v>
      </c>
      <c r="H22" s="44">
        <f>IF(OR(F22="",G22=""),0,F22-G22)</f>
        <v>6.0000000000002274E-2</v>
      </c>
      <c r="I22" s="45">
        <f>IFERROR(ROUND(ABS(J12)+ABS(H22),2),0)</f>
        <v>0.1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12848</v>
      </c>
      <c r="H23" s="49">
        <f>IF(OR(F23="",G23=""),0,(F23-G23)/G23)</f>
        <v>3.2689912826899129E-3</v>
      </c>
      <c r="I23" s="50">
        <f>IFERROR(ROUND(ABS(J13)+ABS(H23),4),0)</f>
        <v>3.5000000000000001E-3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9.35</v>
      </c>
      <c r="G24" s="105">
        <v>9.3699999999999992</v>
      </c>
      <c r="H24" s="52">
        <f>IF(OR(F24="",G24=""),0,F24-G24)</f>
        <v>-1.9999999999999574E-2</v>
      </c>
      <c r="I24" s="53">
        <f>IFERROR(ROUND(ABS(J14)+ABS(H24),2),0)</f>
        <v>0.09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-2.1344717182496878E-3</v>
      </c>
      <c r="I25" s="55">
        <f>IFERROR(ROUND(ABS(J15)+ABS(H25),4),0)</f>
        <v>9.4999999999999998E-3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/>
      <c r="G26" s="13"/>
      <c r="H26" s="56">
        <f>IF(OR(F26="",G26=""),0,F26-G26)</f>
        <v>0</v>
      </c>
      <c r="I26" s="87">
        <f>IFERROR(ROUND(ABS(J16)+(ABS(H26)+ABS(H27))/2,2),0)</f>
        <v>0</v>
      </c>
      <c r="J26" s="89" t="str">
        <f>IF(COUNT(F16:I16,F26:G27)&lt;8,"",IF(ABS(I26)&lt;=Information!D8,"Excellent",IF(ABS(I26)&lt;=Information!E8,"Good",IF(ABS(I26)&lt;=Information!F8,"Fair",IF(I26&lt;=Information!G8,"Poor","Max. Limit")))))</f>
        <v/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/>
      <c r="G27" s="13"/>
      <c r="H27" s="56">
        <f>IF(OR(F27="",G27=""),0,F27-G27)</f>
        <v>0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0.15</v>
      </c>
      <c r="H28" s="56">
        <f>IF(OR(F28="",G28=""),0,F28-G28)</f>
        <v>-0.15</v>
      </c>
      <c r="I28" s="57">
        <f>IFERROR(ROUND(ABS(J17)+AVERAGE(ABS(H28),ABS(H29)),2),0)</f>
        <v>2.65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125.15</v>
      </c>
      <c r="H29" s="58">
        <f>IF(OR(F29="",G29=""),0,F29-G29)</f>
        <v>-1.1500000000000057</v>
      </c>
      <c r="I29" s="59">
        <f>IFERROR(ROUND(ABS(J18)+ABS((H29)/G29),4),0)</f>
        <v>9.64E-2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859AF2-2E09-4A97-9566-7DD138C32C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2023-12-04T23:32:29Z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