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vidson\Documents\Calculations\"/>
    </mc:Choice>
  </mc:AlternateContent>
  <xr:revisionPtr revIDLastSave="0" documentId="13_ncr:1_{9D38001F-2D24-4C54-BA47-2B43AD6AAD89}" xr6:coauthVersionLast="46" xr6:coauthVersionMax="46" xr10:uidLastSave="{00000000-0000-0000-0000-000000000000}"/>
  <bookViews>
    <workbookView xWindow="2120" yWindow="2120" windowWidth="14400" windowHeight="7360" tabRatio="654" firstSheet="1" activeTab="2" xr2:uid="{00000000-000D-0000-FFFF-FFFF00000000}"/>
  </bookViews>
  <sheets>
    <sheet name="Beach Seine and Lampara Volume" sheetId="1" r:id="rId1"/>
    <sheet name="Large Lampara Volume" sheetId="2" r:id="rId2"/>
    <sheet name="Small Lampara Seine Volume" sheetId="6" r:id="rId3"/>
    <sheet name="Small Lampara Drag and Drop" sheetId="7" r:id="rId4"/>
    <sheet name="Small Lampara Volume" sheetId="5" r:id="rId5"/>
    <sheet name="Beach Seine Volum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6" l="1"/>
  <c r="C46" i="5"/>
  <c r="D45" i="5"/>
  <c r="N3" i="7" l="1"/>
  <c r="O3" i="7" s="1"/>
  <c r="D3" i="3"/>
  <c r="E3" i="3"/>
  <c r="D3" i="7"/>
  <c r="N15" i="3" l="1"/>
  <c r="D15" i="3" l="1"/>
  <c r="H15" i="3" s="1"/>
  <c r="G15" i="3" l="1"/>
  <c r="B11" i="5"/>
  <c r="B9" i="3" l="1"/>
  <c r="G9" i="3" s="1"/>
  <c r="V42" i="6" l="1"/>
  <c r="W42" i="6" s="1"/>
  <c r="D15" i="5" l="1"/>
  <c r="E15" i="5" s="1"/>
  <c r="O51" i="6" l="1"/>
  <c r="Q51" i="6" s="1"/>
  <c r="K49" i="6"/>
  <c r="O49" i="6" s="1"/>
  <c r="Q49" i="6" s="1"/>
  <c r="O47" i="6"/>
  <c r="Q47" i="6" s="1"/>
  <c r="K45" i="6"/>
  <c r="O45" i="6" s="1"/>
  <c r="Q45" i="6" s="1"/>
  <c r="K43" i="6"/>
  <c r="O43" i="6" s="1"/>
  <c r="Q43" i="6" s="1"/>
  <c r="K41" i="6"/>
  <c r="O41" i="6" s="1"/>
  <c r="O35" i="6"/>
  <c r="Q35" i="6" s="1"/>
  <c r="K34" i="6"/>
  <c r="O34" i="6" s="1"/>
  <c r="Q34" i="6" s="1"/>
  <c r="O33" i="6"/>
  <c r="Q33" i="6" s="1"/>
  <c r="K32" i="6"/>
  <c r="O32" i="6" s="1"/>
  <c r="Q32" i="6" s="1"/>
  <c r="K31" i="6"/>
  <c r="O31" i="6" s="1"/>
  <c r="Q31" i="6" s="1"/>
  <c r="K30" i="6"/>
  <c r="O30" i="6" s="1"/>
  <c r="Q30" i="6" s="1"/>
  <c r="O24" i="6"/>
  <c r="K23" i="6"/>
  <c r="O23" i="6" s="1"/>
  <c r="O22" i="6"/>
  <c r="K21" i="6"/>
  <c r="O21" i="6" s="1"/>
  <c r="K20" i="6"/>
  <c r="O20" i="6" s="1"/>
  <c r="K19" i="6"/>
  <c r="Q41" i="6" l="1"/>
  <c r="R45" i="6"/>
  <c r="S45" i="6" s="1"/>
  <c r="R41" i="6"/>
  <c r="R51" i="6"/>
  <c r="S51" i="6" s="1"/>
  <c r="R43" i="6"/>
  <c r="S43" i="6" s="1"/>
  <c r="R47" i="6"/>
  <c r="S47" i="6" s="1"/>
  <c r="R49" i="6"/>
  <c r="S49" i="6" s="1"/>
  <c r="C47" i="5"/>
  <c r="S46" i="6" l="1"/>
  <c r="S50" i="6"/>
  <c r="S48" i="6"/>
  <c r="S44" i="6"/>
  <c r="S41" i="6"/>
  <c r="D26" i="5"/>
  <c r="E26" i="5" s="1"/>
  <c r="F26" i="5" s="1"/>
  <c r="G26" i="5" s="1"/>
  <c r="H26" i="5" s="1"/>
  <c r="I26" i="5" s="1"/>
  <c r="A26" i="5"/>
  <c r="M26" i="5" s="1"/>
  <c r="C25" i="5"/>
  <c r="D25" i="5" s="1"/>
  <c r="E25" i="5" s="1"/>
  <c r="F25" i="5" s="1"/>
  <c r="G25" i="5" s="1"/>
  <c r="H25" i="5" s="1"/>
  <c r="I25" i="5" s="1"/>
  <c r="A25" i="5"/>
  <c r="M25" i="5" s="1"/>
  <c r="C24" i="5"/>
  <c r="D24" i="5" s="1"/>
  <c r="E24" i="5" s="1"/>
  <c r="F24" i="5" s="1"/>
  <c r="G24" i="5" s="1"/>
  <c r="H24" i="5" s="1"/>
  <c r="I24" i="5" s="1"/>
  <c r="A24" i="5"/>
  <c r="M24" i="5" s="1"/>
  <c r="A23" i="5"/>
  <c r="M23" i="5" s="1"/>
  <c r="A22" i="5"/>
  <c r="M22" i="5" s="1"/>
  <c r="D21" i="5"/>
  <c r="E21" i="5" s="1"/>
  <c r="F21" i="5" s="1"/>
  <c r="G21" i="5" s="1"/>
  <c r="H21" i="5" s="1"/>
  <c r="I21" i="5" s="1"/>
  <c r="A21" i="5"/>
  <c r="M21" i="5" s="1"/>
  <c r="C20" i="5"/>
  <c r="C19" i="5" s="1"/>
  <c r="D19" i="5" s="1"/>
  <c r="E19" i="5" s="1"/>
  <c r="F19" i="5" s="1"/>
  <c r="G19" i="5" s="1"/>
  <c r="H19" i="5" s="1"/>
  <c r="I19" i="5" s="1"/>
  <c r="A20" i="5"/>
  <c r="M20" i="5" s="1"/>
  <c r="A19" i="5"/>
  <c r="M19" i="5" s="1"/>
  <c r="D18" i="5"/>
  <c r="E18" i="5" s="1"/>
  <c r="F18" i="5" s="1"/>
  <c r="G18" i="5" s="1"/>
  <c r="H18" i="5" s="1"/>
  <c r="I18" i="5" s="1"/>
  <c r="A18" i="5"/>
  <c r="C17" i="5"/>
  <c r="D17" i="5" s="1"/>
  <c r="E17" i="5" s="1"/>
  <c r="F17" i="5" s="1"/>
  <c r="G17" i="5" s="1"/>
  <c r="H17" i="5" s="1"/>
  <c r="I17" i="5" s="1"/>
  <c r="A17" i="5"/>
  <c r="M17" i="5" s="1"/>
  <c r="A16" i="5"/>
  <c r="M16" i="5" s="1"/>
  <c r="M15" i="5"/>
  <c r="F15" i="5"/>
  <c r="G15" i="5" s="1"/>
  <c r="H15" i="5" s="1"/>
  <c r="I15" i="5" s="1"/>
  <c r="S52" i="6" l="1"/>
  <c r="S42" i="6"/>
  <c r="C23" i="5"/>
  <c r="D23" i="5" s="1"/>
  <c r="E23" i="5" s="1"/>
  <c r="F23" i="5" s="1"/>
  <c r="G23" i="5" s="1"/>
  <c r="H23" i="5" s="1"/>
  <c r="I23" i="5" s="1"/>
  <c r="K23" i="5" s="1"/>
  <c r="K24" i="5"/>
  <c r="J24" i="5"/>
  <c r="J15" i="5"/>
  <c r="K15" i="5"/>
  <c r="K17" i="5"/>
  <c r="J17" i="5"/>
  <c r="K18" i="5"/>
  <c r="J18" i="5"/>
  <c r="K19" i="5"/>
  <c r="J19" i="5"/>
  <c r="J21" i="5"/>
  <c r="K21" i="5"/>
  <c r="J25" i="5"/>
  <c r="K25" i="5"/>
  <c r="J26" i="5"/>
  <c r="K26" i="5"/>
  <c r="M18" i="5"/>
  <c r="C16" i="5"/>
  <c r="D16" i="5" s="1"/>
  <c r="E16" i="5" s="1"/>
  <c r="F16" i="5" s="1"/>
  <c r="G16" i="5" s="1"/>
  <c r="H16" i="5" s="1"/>
  <c r="I16" i="5" s="1"/>
  <c r="D20" i="5"/>
  <c r="E20" i="5" s="1"/>
  <c r="F20" i="5" s="1"/>
  <c r="G20" i="5" s="1"/>
  <c r="H20" i="5" s="1"/>
  <c r="I20" i="5" s="1"/>
  <c r="M39" i="2"/>
  <c r="M37" i="2"/>
  <c r="M35" i="2"/>
  <c r="M34" i="2"/>
  <c r="M33" i="2"/>
  <c r="I4" i="5"/>
  <c r="C22" i="5" l="1"/>
  <c r="D22" i="5" s="1"/>
  <c r="E22" i="5" s="1"/>
  <c r="F22" i="5" s="1"/>
  <c r="G22" i="5" s="1"/>
  <c r="H22" i="5" s="1"/>
  <c r="I22" i="5" s="1"/>
  <c r="K22" i="5" s="1"/>
  <c r="J23" i="5"/>
  <c r="L26" i="5"/>
  <c r="N26" i="5" s="1"/>
  <c r="L18" i="5"/>
  <c r="N18" i="5" s="1"/>
  <c r="L15" i="5"/>
  <c r="N15" i="5" s="1"/>
  <c r="L19" i="5"/>
  <c r="N19" i="5" s="1"/>
  <c r="L25" i="5"/>
  <c r="N25" i="5" s="1"/>
  <c r="L24" i="5"/>
  <c r="N24" i="5" s="1"/>
  <c r="L21" i="5"/>
  <c r="N21" i="5" s="1"/>
  <c r="L23" i="5"/>
  <c r="N23" i="5" s="1"/>
  <c r="J20" i="5"/>
  <c r="K20" i="5"/>
  <c r="K16" i="5"/>
  <c r="J16" i="5"/>
  <c r="L17" i="5"/>
  <c r="N17" i="5" s="1"/>
  <c r="J22" i="5" l="1"/>
  <c r="L22" i="5" s="1"/>
  <c r="N22" i="5" s="1"/>
  <c r="L16" i="5"/>
  <c r="N16" i="5" s="1"/>
  <c r="L20" i="5"/>
  <c r="N20" i="5" s="1"/>
  <c r="F15" i="3" l="1"/>
  <c r="F9" i="3"/>
  <c r="F70" i="1"/>
  <c r="E70" i="1"/>
  <c r="I15" i="3" l="1"/>
  <c r="S26" i="2"/>
  <c r="S24" i="2"/>
  <c r="S22" i="2"/>
  <c r="Q7" i="2"/>
  <c r="Q9" i="2"/>
  <c r="Q11" i="2"/>
  <c r="X34" i="2" l="1"/>
  <c r="Y34" i="2" s="1"/>
  <c r="T39" i="2" l="1"/>
  <c r="U39" i="2" s="1"/>
  <c r="T36" i="2"/>
  <c r="U36" i="2" s="1"/>
  <c r="T33" i="2"/>
  <c r="U33" i="2" s="1"/>
  <c r="T35" i="2"/>
  <c r="U35" i="2" s="1"/>
  <c r="T38" i="2"/>
  <c r="U38" i="2" s="1"/>
  <c r="T37" i="2"/>
  <c r="U37" i="2" s="1"/>
  <c r="T34" i="2"/>
  <c r="U34" i="2" s="1"/>
  <c r="T40" i="2"/>
  <c r="U40" i="2" s="1"/>
  <c r="J25" i="1"/>
  <c r="M25" i="2" l="1"/>
  <c r="S25" i="2" s="1"/>
  <c r="M23" i="2"/>
  <c r="S23" i="2" s="1"/>
  <c r="M21" i="2"/>
  <c r="S21" i="2" s="1"/>
  <c r="M20" i="2"/>
  <c r="S20" i="2" s="1"/>
  <c r="M19" i="2"/>
  <c r="S19" i="2" s="1"/>
  <c r="M10" i="2"/>
  <c r="Q10" i="2" s="1"/>
  <c r="M8" i="2"/>
  <c r="Q8" i="2" s="1"/>
  <c r="M6" i="2"/>
  <c r="Q6" i="2" s="1"/>
  <c r="M5" i="2"/>
  <c r="Q5" i="2" s="1"/>
  <c r="M4" i="2"/>
  <c r="Q4" i="2" s="1"/>
  <c r="U41" i="2" l="1"/>
  <c r="Z25" i="1"/>
  <c r="J28" i="1" l="1"/>
  <c r="J30" i="1"/>
  <c r="M4" i="1"/>
  <c r="Z32" i="1"/>
  <c r="Z31" i="1"/>
  <c r="Z30" i="1"/>
  <c r="Z29" i="1"/>
  <c r="Z28" i="1"/>
  <c r="Z27" i="1"/>
  <c r="Z26" i="1"/>
  <c r="J26" i="1"/>
  <c r="J32" i="1"/>
  <c r="J27" i="1"/>
  <c r="J29" i="1"/>
  <c r="J31" i="1"/>
  <c r="P31" i="1" l="1"/>
  <c r="P29" i="1"/>
  <c r="P27" i="1"/>
  <c r="P26" i="1"/>
  <c r="P25" i="1"/>
  <c r="B29" i="1" l="1"/>
  <c r="B31" i="1"/>
  <c r="B25" i="1"/>
  <c r="B26" i="1"/>
  <c r="B27" i="1"/>
</calcChain>
</file>

<file path=xl/sharedStrings.xml><?xml version="1.0" encoding="utf-8"?>
<sst xmlns="http://schemas.openxmlformats.org/spreadsheetml/2006/main" count="218" uniqueCount="137">
  <si>
    <t>Æ</t>
  </si>
  <si>
    <t>Total Width</t>
  </si>
  <si>
    <t>Lampara Volume Estimates</t>
  </si>
  <si>
    <t>Measurements By: Dave Contreras &amp; Bonnie Wang</t>
  </si>
  <si>
    <t>March 2 ,2016</t>
  </si>
  <si>
    <t>Theata dervied from graph paper using scaled down dimensions of a, b, &amp; R.</t>
  </si>
  <si>
    <t>meters</t>
  </si>
  <si>
    <t>ft</t>
  </si>
  <si>
    <t>Conversion from ft to meters</t>
  </si>
  <si>
    <t>(Width/2) a</t>
  </si>
  <si>
    <t>(Length) b</t>
  </si>
  <si>
    <t>(Length/2)R</t>
  </si>
  <si>
    <t>(Height) h</t>
  </si>
  <si>
    <t xml:space="preserve">http://mathworld.wolfram.com/CylindricalWedge.html </t>
  </si>
  <si>
    <t>(Length/2) R</t>
  </si>
  <si>
    <t>Volume of a beach seine = ½ Height x Width x Length</t>
  </si>
  <si>
    <t>Length seems incorrect</t>
  </si>
  <si>
    <t>True volume</t>
  </si>
  <si>
    <t>Triangle Prism Volume</t>
  </si>
  <si>
    <t>Lampara widths and lengths measurements done on a grass field</t>
  </si>
  <si>
    <t>1. Recalculate R (it's not necessarily 1/2 of b)</t>
  </si>
  <si>
    <t>use the formula in the link you provide:</t>
  </si>
  <si>
    <t xml:space="preserve">solve for R: </t>
  </si>
  <si>
    <t>in the 2nd equation, R= (a^2 +b^2)/2b</t>
  </si>
  <si>
    <t>2. Recalculate theta using the equation in the link you provided</t>
  </si>
  <si>
    <t>Using the identities</t>
  </si>
  <si>
    <t>NEW R</t>
  </si>
  <si>
    <t xml:space="preserve"> Æ</t>
  </si>
  <si>
    <t>3. Calculate True volume using equation in the link provided:</t>
  </si>
  <si>
    <t>Zair Burris May 5, 2016</t>
  </si>
  <si>
    <t>Volume</t>
  </si>
  <si>
    <t>h</t>
  </si>
  <si>
    <t>Average</t>
  </si>
  <si>
    <t>Top height 9.9 ft</t>
  </si>
  <si>
    <t>Enter Ft</t>
  </si>
  <si>
    <t>Ft</t>
  </si>
  <si>
    <t>length</t>
  </si>
  <si>
    <t>width</t>
  </si>
  <si>
    <t>depth (ft)</t>
  </si>
  <si>
    <t>depth (m)</t>
  </si>
  <si>
    <t>Big Lampara (Gear ID - LAM00)</t>
  </si>
  <si>
    <t>Standard Beach Seine Volume</t>
  </si>
  <si>
    <t>Drag and Drop Beach Seine Volume</t>
  </si>
  <si>
    <t>center length</t>
  </si>
  <si>
    <r>
      <t>Volume (m</t>
    </r>
    <r>
      <rPr>
        <sz val="11"/>
        <color theme="1"/>
        <rFont val="Calibri"/>
        <family val="2"/>
      </rPr>
      <t>³)</t>
    </r>
  </si>
  <si>
    <t>Volume  (m³)</t>
  </si>
  <si>
    <t>seine width</t>
  </si>
  <si>
    <t>cod end width</t>
  </si>
  <si>
    <t>Toss, Drag, and Drop Beach Seine Volume</t>
  </si>
  <si>
    <t>V1  (m³)</t>
  </si>
  <si>
    <t>V2  (m³)</t>
  </si>
  <si>
    <t>Volume (m³)</t>
  </si>
  <si>
    <t>shore seine width 1</t>
  </si>
  <si>
    <t>shore seine width 2</t>
  </si>
  <si>
    <t>LAM01 Length (m) =</t>
  </si>
  <si>
    <t>LAM02 Length (m) =</t>
  </si>
  <si>
    <t xml:space="preserve">Avg. Length (m) = </t>
  </si>
  <si>
    <t xml:space="preserve">LAM01 Maximum Depth (m) = </t>
  </si>
  <si>
    <t xml:space="preserve">LAM02 Maximum Depth (m) = </t>
  </si>
  <si>
    <t xml:space="preserve">Avg. Maximum Depth (m) = </t>
  </si>
  <si>
    <t xml:space="preserve">Circle Circumference (m) = </t>
  </si>
  <si>
    <t xml:space="preserve">Circle Radius (m) = </t>
  </si>
  <si>
    <t xml:space="preserve">  (36.4/3.14)</t>
  </si>
  <si>
    <t xml:space="preserve">Circle Diameter  (m) = </t>
  </si>
  <si>
    <t xml:space="preserve">Volume of a cylinder = </t>
  </si>
  <si>
    <t>Depth (ft)</t>
  </si>
  <si>
    <t>&gt;12</t>
  </si>
  <si>
    <t>Depth (m)</t>
  </si>
  <si>
    <t>Lampara Net Length &gt; depth (m)</t>
  </si>
  <si>
    <t>Dashes represent a mock outline of how much</t>
  </si>
  <si>
    <t>the lampara net samples of the cylinder when fully deployed.</t>
  </si>
  <si>
    <r>
      <t>Lampara Volume (m</t>
    </r>
    <r>
      <rPr>
        <b/>
        <sz val="11"/>
        <color theme="1"/>
        <rFont val="Calibri"/>
        <family val="2"/>
      </rPr>
      <t>³)</t>
    </r>
    <r>
      <rPr>
        <b/>
        <sz val="11"/>
        <color theme="1"/>
        <rFont val="Calibri"/>
        <family val="2"/>
        <scheme val="minor"/>
      </rPr>
      <t xml:space="preserve"> = </t>
    </r>
  </si>
  <si>
    <t>Lampara Open Water Volumes for Gear ID LAM01 and LAM02</t>
  </si>
  <si>
    <t>length (m)</t>
  </si>
  <si>
    <t>width (m)</t>
  </si>
  <si>
    <t>Arc Length</t>
  </si>
  <si>
    <t>Theta</t>
  </si>
  <si>
    <t>Theta/2</t>
  </si>
  <si>
    <t>sin</t>
  </si>
  <si>
    <t>Chord length (2a)</t>
  </si>
  <si>
    <t>a</t>
  </si>
  <si>
    <t>b</t>
  </si>
  <si>
    <t>Total cylinder volume</t>
  </si>
  <si>
    <t>Total Lampara Volume</t>
  </si>
  <si>
    <t>Unsampled Volume</t>
  </si>
  <si>
    <r>
      <t>Lampara Volume = -0.7915x</t>
    </r>
    <r>
      <rPr>
        <sz val="11"/>
        <color theme="1"/>
        <rFont val="Calibri"/>
        <family val="2"/>
      </rPr>
      <t>² + 37.921x - 8.3261</t>
    </r>
  </si>
  <si>
    <t>Theta in radians</t>
  </si>
  <si>
    <t>Enter Site Depth (ft) =</t>
  </si>
  <si>
    <t>Maxiumum Net Depth (ft) =</t>
  </si>
  <si>
    <t>Lampara Beach Seine Estimated Volumes</t>
  </si>
  <si>
    <t>R</t>
  </si>
  <si>
    <t>Drag and Drop Method Volume Derived From:</t>
  </si>
  <si>
    <t>http://keisan.casio.com/exec/system/1322717681</t>
  </si>
  <si>
    <t>Top height 11.9 ft</t>
  </si>
  <si>
    <t>Drag and Drop Method h Derived From:</t>
  </si>
  <si>
    <t>http://mathworld.wolfram.com/IsoscelesTrapezoid.html</t>
  </si>
  <si>
    <t>Side length</t>
  </si>
  <si>
    <t>7.5*</t>
  </si>
  <si>
    <t>12.5*</t>
  </si>
  <si>
    <t>17.5*</t>
  </si>
  <si>
    <t>22.5*</t>
  </si>
  <si>
    <t>27.5*</t>
  </si>
  <si>
    <t>* denotes volumes estimated from averages</t>
  </si>
  <si>
    <t>Measurements taken on Lampara net LAM01 in the Stockton back parking lot by D. Contreras and S. Lee on July 21, 2017</t>
  </si>
  <si>
    <t>Actual Volume</t>
  </si>
  <si>
    <t>Estimated Volume</t>
  </si>
  <si>
    <t>N:</t>
  </si>
  <si>
    <t>Mean:</t>
  </si>
  <si>
    <t>Median:</t>
  </si>
  <si>
    <t>t test</t>
  </si>
  <si>
    <t>Mean difference:</t>
  </si>
  <si>
    <t>95% conf.:</t>
  </si>
  <si>
    <t>(-1.4455 1.4755)</t>
  </si>
  <si>
    <t>t :</t>
  </si>
  <si>
    <t>p (same mean):</t>
  </si>
  <si>
    <t>Exact:</t>
  </si>
  <si>
    <t>Sign test</t>
  </si>
  <si>
    <t>r :</t>
  </si>
  <si>
    <t>p (same median):</t>
  </si>
  <si>
    <t>Wilcoxon test :</t>
  </si>
  <si>
    <t>W :</t>
  </si>
  <si>
    <t>Normal appr. z :</t>
  </si>
  <si>
    <t>Monte Carlo (n=99999):</t>
  </si>
  <si>
    <t>Paired T-Test</t>
  </si>
  <si>
    <t>Surface Area (m) =</t>
  </si>
  <si>
    <t>Length (m)</t>
  </si>
  <si>
    <t>Width (m)</t>
  </si>
  <si>
    <t>I changed 22.65 to 24.65 on the next excel sheet because that is the trend. I believe 22.65 was incorrectly recorded in the field.</t>
  </si>
  <si>
    <t>Small Lampara Seine Volume Calculations</t>
  </si>
  <si>
    <t>Small Lampara Volume Calculations</t>
  </si>
  <si>
    <t>Toss, Drag, and Drop Beach Seine Volume At The End Of A Channel Volume</t>
  </si>
  <si>
    <t>Volume*</t>
  </si>
  <si>
    <t>Lampara Volume (if depth is not a whole of half number)</t>
  </si>
  <si>
    <t>*Since we only sample a quarter of an ellipsoid, the total volume of the ellipsoid is divided by 4</t>
  </si>
  <si>
    <t>Drag and Drop Lampara Volume - At The End Of A Channel</t>
  </si>
  <si>
    <t>Drag and Drop Lampara Volume - In The Middle Of A Channel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</si>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</sst>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5"/>
      <color rgb="FF007ECE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ill="1"/>
    <xf numFmtId="0" fontId="3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7" fillId="0" borderId="0" xfId="1"/>
    <xf numFmtId="0" fontId="8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5" borderId="0" xfId="0" applyFill="1"/>
    <xf numFmtId="0" fontId="4" fillId="5" borderId="1" xfId="0" applyFont="1" applyFill="1" applyBorder="1" applyAlignment="1"/>
    <xf numFmtId="0" fontId="0" fillId="5" borderId="10" xfId="0" applyFill="1" applyBorder="1"/>
    <xf numFmtId="0" fontId="0" fillId="5" borderId="11" xfId="0" applyFill="1" applyBorder="1"/>
    <xf numFmtId="0" fontId="3" fillId="5" borderId="0" xfId="0" applyFont="1" applyFill="1"/>
    <xf numFmtId="0" fontId="1" fillId="5" borderId="12" xfId="0" applyFon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/>
    <xf numFmtId="164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10" fillId="0" borderId="0" xfId="0" applyFont="1"/>
    <xf numFmtId="0" fontId="0" fillId="0" borderId="0" xfId="0" applyAlignment="1">
      <alignment horizontal="right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right"/>
    </xf>
    <xf numFmtId="0" fontId="1" fillId="0" borderId="6" xfId="0" applyFont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8" borderId="4" xfId="0" applyFill="1" applyBorder="1" applyAlignment="1"/>
    <xf numFmtId="0" fontId="0" fillId="9" borderId="15" xfId="0" applyFill="1" applyBorder="1" applyAlignment="1"/>
    <xf numFmtId="0" fontId="0" fillId="4" borderId="15" xfId="0" applyFill="1" applyBorder="1" applyAlignment="1"/>
    <xf numFmtId="0" fontId="0" fillId="4" borderId="5" xfId="0" applyFill="1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8" borderId="0" xfId="0" applyFill="1" applyBorder="1"/>
    <xf numFmtId="0" fontId="0" fillId="9" borderId="0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4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19" xfId="1" applyBorder="1"/>
    <xf numFmtId="164" fontId="1" fillId="0" borderId="0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0" fillId="7" borderId="22" xfId="0" applyNumberFormat="1" applyFill="1" applyBorder="1" applyAlignment="1">
      <alignment horizontal="center"/>
    </xf>
    <xf numFmtId="0" fontId="6" fillId="0" borderId="19" xfId="0" applyFont="1" applyBorder="1"/>
    <xf numFmtId="164" fontId="0" fillId="0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64" fontId="0" fillId="13" borderId="0" xfId="0" applyNumberForma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0" fillId="5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3" fillId="4" borderId="14" xfId="0" applyFon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0" fontId="14" fillId="10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164" fontId="0" fillId="5" borderId="14" xfId="0" applyNumberFormat="1" applyFill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5" fillId="10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2" borderId="17" xfId="0" applyFont="1" applyFill="1" applyBorder="1" applyAlignment="1">
      <alignment horizontal="center"/>
    </xf>
    <xf numFmtId="0" fontId="3" fillId="12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037248468941385"/>
                  <c:y val="3.703703703703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'Small Lampara Volume'!$B$15:$B$26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&gt;12</c:v>
                </c:pt>
              </c:strCache>
            </c:strRef>
          </c:xVal>
          <c:yVal>
            <c:numRef>
              <c:f>'Small Lampara Volume'!$N$15:$N$26</c:f>
              <c:numCache>
                <c:formatCode>0.0</c:formatCode>
                <c:ptCount val="12"/>
                <c:pt idx="0">
                  <c:v>31.704639542278287</c:v>
                </c:pt>
                <c:pt idx="1">
                  <c:v>64.41010877496511</c:v>
                </c:pt>
                <c:pt idx="2">
                  <c:v>96.458726378669311</c:v>
                </c:pt>
                <c:pt idx="3">
                  <c:v>128.24737922622134</c:v>
                </c:pt>
                <c:pt idx="4">
                  <c:v>159.54681755512232</c:v>
                </c:pt>
                <c:pt idx="5">
                  <c:v>190.09889584892872</c:v>
                </c:pt>
                <c:pt idx="6">
                  <c:v>219.61569151602509</c:v>
                </c:pt>
                <c:pt idx="7">
                  <c:v>244.53391454737368</c:v>
                </c:pt>
                <c:pt idx="8">
                  <c:v>270.79443795444922</c:v>
                </c:pt>
                <c:pt idx="9">
                  <c:v>295.44671748046824</c:v>
                </c:pt>
                <c:pt idx="10">
                  <c:v>313.90876372242229</c:v>
                </c:pt>
                <c:pt idx="11">
                  <c:v>328.71376838940859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6-44A8-89A2-68AC38595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43296"/>
        <c:axId val="121145216"/>
      </c:scatterChart>
      <c:valAx>
        <c:axId val="1211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5216"/>
        <c:crosses val="autoZero"/>
        <c:crossBetween val="midCat"/>
      </c:valAx>
      <c:valAx>
        <c:axId val="1211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(m³)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gif"/><Relationship Id="rId13" Type="http://schemas.openxmlformats.org/officeDocument/2006/relationships/image" Target="../media/image2.png"/><Relationship Id="rId3" Type="http://schemas.openxmlformats.org/officeDocument/2006/relationships/image" Target="../media/image7.gif"/><Relationship Id="rId7" Type="http://schemas.openxmlformats.org/officeDocument/2006/relationships/image" Target="../media/image11.gif"/><Relationship Id="rId12" Type="http://schemas.openxmlformats.org/officeDocument/2006/relationships/image" Target="../media/image16.gif"/><Relationship Id="rId2" Type="http://schemas.openxmlformats.org/officeDocument/2006/relationships/image" Target="../media/image6.gif"/><Relationship Id="rId1" Type="http://schemas.openxmlformats.org/officeDocument/2006/relationships/image" Target="../media/image5.gif"/><Relationship Id="rId6" Type="http://schemas.openxmlformats.org/officeDocument/2006/relationships/image" Target="../media/image10.gif"/><Relationship Id="rId11" Type="http://schemas.openxmlformats.org/officeDocument/2006/relationships/image" Target="../media/image15.gif"/><Relationship Id="rId5" Type="http://schemas.openxmlformats.org/officeDocument/2006/relationships/image" Target="../media/image9.gif"/><Relationship Id="rId10" Type="http://schemas.openxmlformats.org/officeDocument/2006/relationships/image" Target="../media/image14.gif"/><Relationship Id="rId4" Type="http://schemas.openxmlformats.org/officeDocument/2006/relationships/image" Target="../media/image8.gif"/><Relationship Id="rId9" Type="http://schemas.openxmlformats.org/officeDocument/2006/relationships/image" Target="../media/image13.gi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gif"/><Relationship Id="rId13" Type="http://schemas.openxmlformats.org/officeDocument/2006/relationships/image" Target="../media/image2.png"/><Relationship Id="rId3" Type="http://schemas.openxmlformats.org/officeDocument/2006/relationships/image" Target="../media/image7.gif"/><Relationship Id="rId7" Type="http://schemas.openxmlformats.org/officeDocument/2006/relationships/image" Target="../media/image11.gif"/><Relationship Id="rId12" Type="http://schemas.openxmlformats.org/officeDocument/2006/relationships/image" Target="../media/image16.gif"/><Relationship Id="rId2" Type="http://schemas.openxmlformats.org/officeDocument/2006/relationships/image" Target="../media/image6.gif"/><Relationship Id="rId1" Type="http://schemas.openxmlformats.org/officeDocument/2006/relationships/image" Target="../media/image5.gif"/><Relationship Id="rId6" Type="http://schemas.openxmlformats.org/officeDocument/2006/relationships/image" Target="../media/image10.gif"/><Relationship Id="rId11" Type="http://schemas.openxmlformats.org/officeDocument/2006/relationships/image" Target="../media/image15.gif"/><Relationship Id="rId5" Type="http://schemas.openxmlformats.org/officeDocument/2006/relationships/image" Target="../media/image9.gif"/><Relationship Id="rId10" Type="http://schemas.openxmlformats.org/officeDocument/2006/relationships/image" Target="../media/image14.gif"/><Relationship Id="rId4" Type="http://schemas.openxmlformats.org/officeDocument/2006/relationships/image" Target="../media/image8.gif"/><Relationship Id="rId9" Type="http://schemas.openxmlformats.org/officeDocument/2006/relationships/image" Target="../media/image13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66675</xdr:rowOff>
    </xdr:from>
    <xdr:to>
      <xdr:col>4</xdr:col>
      <xdr:colOff>636814</xdr:colOff>
      <xdr:row>19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33475"/>
          <a:ext cx="35052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381000</xdr:colOff>
      <xdr:row>11</xdr:row>
      <xdr:rowOff>28575</xdr:rowOff>
    </xdr:from>
    <xdr:to>
      <xdr:col>10</xdr:col>
      <xdr:colOff>600076</xdr:colOff>
      <xdr:row>14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5" y="1781175"/>
          <a:ext cx="21621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</xdr:colOff>
      <xdr:row>38</xdr:row>
      <xdr:rowOff>85725</xdr:rowOff>
    </xdr:from>
    <xdr:to>
      <xdr:col>10</xdr:col>
      <xdr:colOff>619125</xdr:colOff>
      <xdr:row>49</xdr:row>
      <xdr:rowOff>180975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8575" y="6544582"/>
          <a:ext cx="6858907" cy="2090964"/>
          <a:chOff x="28575" y="6667500"/>
          <a:chExt cx="5667375" cy="2190750"/>
        </a:xfrm>
      </xdr:grpSpPr>
      <xdr:pic>
        <xdr:nvPicPr>
          <xdr:cNvPr id="4" name="Picture 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6667500"/>
            <a:ext cx="5667375" cy="2190750"/>
          </a:xfrm>
          <a:prstGeom prst="rect">
            <a:avLst/>
          </a:prstGeom>
          <a:solidFill>
            <a:schemeClr val="bg1"/>
          </a:solidFill>
          <a:ln>
            <a:noFill/>
          </a:ln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295524" y="8220075"/>
            <a:ext cx="561975" cy="233205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/>
              <a:t>Height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323975" y="7467600"/>
            <a:ext cx="494110" cy="233205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900">
                <a:solidFill>
                  <a:schemeClr val="bg1"/>
                </a:solidFill>
              </a:rPr>
              <a:t>Height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3590924" y="7219950"/>
            <a:ext cx="561975" cy="233205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>
                <a:solidFill>
                  <a:schemeClr val="bg1"/>
                </a:solidFill>
              </a:rPr>
              <a:t>Height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4686299" y="7248525"/>
            <a:ext cx="561975" cy="233205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>
                <a:solidFill>
                  <a:schemeClr val="bg1"/>
                </a:solidFill>
              </a:rPr>
              <a:t>Height</a:t>
            </a:r>
          </a:p>
        </xdr:txBody>
      </xdr:sp>
    </xdr:grpSp>
    <xdr:clientData/>
  </xdr:twoCellAnchor>
  <xdr:twoCellAnchor editAs="oneCell">
    <xdr:from>
      <xdr:col>0</xdr:col>
      <xdr:colOff>28575</xdr:colOff>
      <xdr:row>52</xdr:row>
      <xdr:rowOff>28575</xdr:rowOff>
    </xdr:from>
    <xdr:to>
      <xdr:col>12</xdr:col>
      <xdr:colOff>223157</xdr:colOff>
      <xdr:row>66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286875"/>
          <a:ext cx="7591425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419100</xdr:colOff>
      <xdr:row>32</xdr:row>
      <xdr:rowOff>19050</xdr:rowOff>
    </xdr:from>
    <xdr:to>
      <xdr:col>9</xdr:col>
      <xdr:colOff>152401</xdr:colOff>
      <xdr:row>41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2352675" y="5457825"/>
          <a:ext cx="2143126" cy="1733550"/>
        </a:xfrm>
        <a:prstGeom prst="straightConnector1">
          <a:avLst/>
        </a:prstGeom>
        <a:ln w="25400">
          <a:solidFill>
            <a:sysClr val="windowText" lastClr="00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367392</xdr:colOff>
      <xdr:row>1</xdr:row>
      <xdr:rowOff>95249</xdr:rowOff>
    </xdr:from>
    <xdr:to>
      <xdr:col>19</xdr:col>
      <xdr:colOff>221245</xdr:colOff>
      <xdr:row>18</xdr:row>
      <xdr:rowOff>31535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10327821" y="331106"/>
          <a:ext cx="2693210" cy="2276715"/>
          <a:chOff x="1582154" y="2072129"/>
          <a:chExt cx="2575281" cy="2195071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>
            <a:off x="1775460" y="2506980"/>
            <a:ext cx="411480" cy="950976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Freeform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1775460" y="2375000"/>
            <a:ext cx="2041412" cy="577750"/>
          </a:xfrm>
          <a:custGeom>
            <a:avLst/>
            <a:gdLst>
              <a:gd name="connsiteX0" fmla="*/ 0 w 2041412"/>
              <a:gd name="connsiteY0" fmla="*/ 162460 h 634900"/>
              <a:gd name="connsiteX1" fmla="*/ 91440 w 2041412"/>
              <a:gd name="connsiteY1" fmla="*/ 93880 h 634900"/>
              <a:gd name="connsiteX2" fmla="*/ 381000 w 2041412"/>
              <a:gd name="connsiteY2" fmla="*/ 40540 h 634900"/>
              <a:gd name="connsiteX3" fmla="*/ 662940 w 2041412"/>
              <a:gd name="connsiteY3" fmla="*/ 17680 h 634900"/>
              <a:gd name="connsiteX4" fmla="*/ 998220 w 2041412"/>
              <a:gd name="connsiteY4" fmla="*/ 2440 h 634900"/>
              <a:gd name="connsiteX5" fmla="*/ 1409700 w 2041412"/>
              <a:gd name="connsiteY5" fmla="*/ 71020 h 634900"/>
              <a:gd name="connsiteX6" fmla="*/ 1668780 w 2041412"/>
              <a:gd name="connsiteY6" fmla="*/ 154840 h 634900"/>
              <a:gd name="connsiteX7" fmla="*/ 1851660 w 2041412"/>
              <a:gd name="connsiteY7" fmla="*/ 276760 h 634900"/>
              <a:gd name="connsiteX8" fmla="*/ 2004060 w 2041412"/>
              <a:gd name="connsiteY8" fmla="*/ 383440 h 634900"/>
              <a:gd name="connsiteX9" fmla="*/ 2019300 w 2041412"/>
              <a:gd name="connsiteY9" fmla="*/ 421540 h 634900"/>
              <a:gd name="connsiteX10" fmla="*/ 1737360 w 2041412"/>
              <a:gd name="connsiteY10" fmla="*/ 444400 h 634900"/>
              <a:gd name="connsiteX11" fmla="*/ 1234440 w 2041412"/>
              <a:gd name="connsiteY11" fmla="*/ 490120 h 634900"/>
              <a:gd name="connsiteX12" fmla="*/ 906780 w 2041412"/>
              <a:gd name="connsiteY12" fmla="*/ 543460 h 634900"/>
              <a:gd name="connsiteX13" fmla="*/ 419100 w 2041412"/>
              <a:gd name="connsiteY13" fmla="*/ 596800 h 634900"/>
              <a:gd name="connsiteX14" fmla="*/ 350520 w 2041412"/>
              <a:gd name="connsiteY14" fmla="*/ 596800 h 634900"/>
              <a:gd name="connsiteX15" fmla="*/ 289560 w 2041412"/>
              <a:gd name="connsiteY15" fmla="*/ 612040 h 634900"/>
              <a:gd name="connsiteX16" fmla="*/ 205740 w 2041412"/>
              <a:gd name="connsiteY16" fmla="*/ 634900 h 634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2041412" h="634900">
                <a:moveTo>
                  <a:pt x="0" y="162460"/>
                </a:moveTo>
                <a:cubicBezTo>
                  <a:pt x="13970" y="138330"/>
                  <a:pt x="27940" y="114200"/>
                  <a:pt x="91440" y="93880"/>
                </a:cubicBezTo>
                <a:cubicBezTo>
                  <a:pt x="154940" y="73560"/>
                  <a:pt x="285750" y="53240"/>
                  <a:pt x="381000" y="40540"/>
                </a:cubicBezTo>
                <a:cubicBezTo>
                  <a:pt x="476250" y="27840"/>
                  <a:pt x="560070" y="24030"/>
                  <a:pt x="662940" y="17680"/>
                </a:cubicBezTo>
                <a:cubicBezTo>
                  <a:pt x="765810" y="11330"/>
                  <a:pt x="873760" y="-6450"/>
                  <a:pt x="998220" y="2440"/>
                </a:cubicBezTo>
                <a:cubicBezTo>
                  <a:pt x="1122680" y="11330"/>
                  <a:pt x="1297940" y="45620"/>
                  <a:pt x="1409700" y="71020"/>
                </a:cubicBezTo>
                <a:cubicBezTo>
                  <a:pt x="1521460" y="96420"/>
                  <a:pt x="1595120" y="120550"/>
                  <a:pt x="1668780" y="154840"/>
                </a:cubicBezTo>
                <a:cubicBezTo>
                  <a:pt x="1742440" y="189130"/>
                  <a:pt x="1795780" y="238660"/>
                  <a:pt x="1851660" y="276760"/>
                </a:cubicBezTo>
                <a:cubicBezTo>
                  <a:pt x="1907540" y="314860"/>
                  <a:pt x="1976120" y="359310"/>
                  <a:pt x="2004060" y="383440"/>
                </a:cubicBezTo>
                <a:cubicBezTo>
                  <a:pt x="2032000" y="407570"/>
                  <a:pt x="2063750" y="411380"/>
                  <a:pt x="2019300" y="421540"/>
                </a:cubicBezTo>
                <a:cubicBezTo>
                  <a:pt x="1974850" y="431700"/>
                  <a:pt x="1737360" y="444400"/>
                  <a:pt x="1737360" y="444400"/>
                </a:cubicBezTo>
                <a:cubicBezTo>
                  <a:pt x="1606550" y="455830"/>
                  <a:pt x="1372870" y="473610"/>
                  <a:pt x="1234440" y="490120"/>
                </a:cubicBezTo>
                <a:cubicBezTo>
                  <a:pt x="1096010" y="506630"/>
                  <a:pt x="1042670" y="525680"/>
                  <a:pt x="906780" y="543460"/>
                </a:cubicBezTo>
                <a:cubicBezTo>
                  <a:pt x="770890" y="561240"/>
                  <a:pt x="511810" y="587910"/>
                  <a:pt x="419100" y="596800"/>
                </a:cubicBezTo>
                <a:cubicBezTo>
                  <a:pt x="326390" y="605690"/>
                  <a:pt x="372110" y="594260"/>
                  <a:pt x="350520" y="596800"/>
                </a:cubicBezTo>
                <a:cubicBezTo>
                  <a:pt x="328930" y="599340"/>
                  <a:pt x="289560" y="612040"/>
                  <a:pt x="289560" y="612040"/>
                </a:cubicBezTo>
                <a:lnTo>
                  <a:pt x="205740" y="634900"/>
                </a:lnTo>
              </a:path>
            </a:pathLst>
          </a:custGeom>
          <a:noFill/>
          <a:ln w="1270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Freeform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2217420" y="2362200"/>
            <a:ext cx="1617133" cy="1120815"/>
          </a:xfrm>
          <a:custGeom>
            <a:avLst/>
            <a:gdLst>
              <a:gd name="connsiteX0" fmla="*/ 1607820 w 1617133"/>
              <a:gd name="connsiteY0" fmla="*/ 0 h 1120815"/>
              <a:gd name="connsiteX1" fmla="*/ 1607820 w 1617133"/>
              <a:gd name="connsiteY1" fmla="*/ 76200 h 1120815"/>
              <a:gd name="connsiteX2" fmla="*/ 1615440 w 1617133"/>
              <a:gd name="connsiteY2" fmla="*/ 175260 h 1120815"/>
              <a:gd name="connsiteX3" fmla="*/ 1615440 w 1617133"/>
              <a:gd name="connsiteY3" fmla="*/ 358140 h 1120815"/>
              <a:gd name="connsiteX4" fmla="*/ 1615440 w 1617133"/>
              <a:gd name="connsiteY4" fmla="*/ 472440 h 1120815"/>
              <a:gd name="connsiteX5" fmla="*/ 1615440 w 1617133"/>
              <a:gd name="connsiteY5" fmla="*/ 579120 h 1120815"/>
              <a:gd name="connsiteX6" fmla="*/ 1592580 w 1617133"/>
              <a:gd name="connsiteY6" fmla="*/ 670560 h 1120815"/>
              <a:gd name="connsiteX7" fmla="*/ 1546860 w 1617133"/>
              <a:gd name="connsiteY7" fmla="*/ 739140 h 1120815"/>
              <a:gd name="connsiteX8" fmla="*/ 1501140 w 1617133"/>
              <a:gd name="connsiteY8" fmla="*/ 807720 h 1120815"/>
              <a:gd name="connsiteX9" fmla="*/ 1379220 w 1617133"/>
              <a:gd name="connsiteY9" fmla="*/ 906780 h 1120815"/>
              <a:gd name="connsiteX10" fmla="*/ 1112520 w 1617133"/>
              <a:gd name="connsiteY10" fmla="*/ 1005840 h 1120815"/>
              <a:gd name="connsiteX11" fmla="*/ 853440 w 1617133"/>
              <a:gd name="connsiteY11" fmla="*/ 1082040 h 1120815"/>
              <a:gd name="connsiteX12" fmla="*/ 601980 w 1617133"/>
              <a:gd name="connsiteY12" fmla="*/ 1097280 h 1120815"/>
              <a:gd name="connsiteX13" fmla="*/ 304800 w 1617133"/>
              <a:gd name="connsiteY13" fmla="*/ 1120140 h 1120815"/>
              <a:gd name="connsiteX14" fmla="*/ 0 w 1617133"/>
              <a:gd name="connsiteY14" fmla="*/ 1112520 h 11208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617133" h="1120815">
                <a:moveTo>
                  <a:pt x="1607820" y="0"/>
                </a:moveTo>
                <a:cubicBezTo>
                  <a:pt x="1607185" y="23495"/>
                  <a:pt x="1606550" y="46990"/>
                  <a:pt x="1607820" y="76200"/>
                </a:cubicBezTo>
                <a:cubicBezTo>
                  <a:pt x="1609090" y="105410"/>
                  <a:pt x="1614170" y="128270"/>
                  <a:pt x="1615440" y="175260"/>
                </a:cubicBezTo>
                <a:cubicBezTo>
                  <a:pt x="1616710" y="222250"/>
                  <a:pt x="1615440" y="358140"/>
                  <a:pt x="1615440" y="358140"/>
                </a:cubicBezTo>
                <a:lnTo>
                  <a:pt x="1615440" y="472440"/>
                </a:lnTo>
                <a:cubicBezTo>
                  <a:pt x="1615440" y="509270"/>
                  <a:pt x="1619250" y="546100"/>
                  <a:pt x="1615440" y="579120"/>
                </a:cubicBezTo>
                <a:cubicBezTo>
                  <a:pt x="1611630" y="612140"/>
                  <a:pt x="1604010" y="643890"/>
                  <a:pt x="1592580" y="670560"/>
                </a:cubicBezTo>
                <a:cubicBezTo>
                  <a:pt x="1581150" y="697230"/>
                  <a:pt x="1546860" y="739140"/>
                  <a:pt x="1546860" y="739140"/>
                </a:cubicBezTo>
                <a:cubicBezTo>
                  <a:pt x="1531620" y="762000"/>
                  <a:pt x="1529080" y="779780"/>
                  <a:pt x="1501140" y="807720"/>
                </a:cubicBezTo>
                <a:cubicBezTo>
                  <a:pt x="1473200" y="835660"/>
                  <a:pt x="1443990" y="873760"/>
                  <a:pt x="1379220" y="906780"/>
                </a:cubicBezTo>
                <a:cubicBezTo>
                  <a:pt x="1314450" y="939800"/>
                  <a:pt x="1200150" y="976630"/>
                  <a:pt x="1112520" y="1005840"/>
                </a:cubicBezTo>
                <a:cubicBezTo>
                  <a:pt x="1024890" y="1035050"/>
                  <a:pt x="938530" y="1066800"/>
                  <a:pt x="853440" y="1082040"/>
                </a:cubicBezTo>
                <a:cubicBezTo>
                  <a:pt x="768350" y="1097280"/>
                  <a:pt x="601980" y="1097280"/>
                  <a:pt x="601980" y="1097280"/>
                </a:cubicBezTo>
                <a:cubicBezTo>
                  <a:pt x="510540" y="1103630"/>
                  <a:pt x="405130" y="1117600"/>
                  <a:pt x="304800" y="1120140"/>
                </a:cubicBezTo>
                <a:cubicBezTo>
                  <a:pt x="204470" y="1122680"/>
                  <a:pt x="102235" y="1117600"/>
                  <a:pt x="0" y="1112520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spect="1"/>
          </xdr:cNvSpPr>
        </xdr:nvSpPr>
        <xdr:spPr>
          <a:xfrm>
            <a:off x="1758696" y="2474976"/>
            <a:ext cx="64008" cy="64008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>
            <a:spLocks noChangeAspect="1"/>
          </xdr:cNvSpPr>
        </xdr:nvSpPr>
        <xdr:spPr>
          <a:xfrm>
            <a:off x="2174748" y="3442716"/>
            <a:ext cx="64008" cy="64008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Freeform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805940" y="2072129"/>
            <a:ext cx="2012615" cy="1402591"/>
          </a:xfrm>
          <a:custGeom>
            <a:avLst/>
            <a:gdLst>
              <a:gd name="connsiteX0" fmla="*/ 0 w 2012615"/>
              <a:gd name="connsiteY0" fmla="*/ 450091 h 1402591"/>
              <a:gd name="connsiteX1" fmla="*/ 137160 w 2012615"/>
              <a:gd name="connsiteY1" fmla="*/ 328171 h 1402591"/>
              <a:gd name="connsiteX2" fmla="*/ 297180 w 2012615"/>
              <a:gd name="connsiteY2" fmla="*/ 267211 h 1402591"/>
              <a:gd name="connsiteX3" fmla="*/ 434340 w 2012615"/>
              <a:gd name="connsiteY3" fmla="*/ 198631 h 1402591"/>
              <a:gd name="connsiteX4" fmla="*/ 601980 w 2012615"/>
              <a:gd name="connsiteY4" fmla="*/ 145291 h 1402591"/>
              <a:gd name="connsiteX5" fmla="*/ 777240 w 2012615"/>
              <a:gd name="connsiteY5" fmla="*/ 76711 h 1402591"/>
              <a:gd name="connsiteX6" fmla="*/ 952500 w 2012615"/>
              <a:gd name="connsiteY6" fmla="*/ 46231 h 1402591"/>
              <a:gd name="connsiteX7" fmla="*/ 1097280 w 2012615"/>
              <a:gd name="connsiteY7" fmla="*/ 15751 h 1402591"/>
              <a:gd name="connsiteX8" fmla="*/ 1226820 w 2012615"/>
              <a:gd name="connsiteY8" fmla="*/ 8131 h 1402591"/>
              <a:gd name="connsiteX9" fmla="*/ 1447800 w 2012615"/>
              <a:gd name="connsiteY9" fmla="*/ 511 h 1402591"/>
              <a:gd name="connsiteX10" fmla="*/ 1630680 w 2012615"/>
              <a:gd name="connsiteY10" fmla="*/ 23371 h 1402591"/>
              <a:gd name="connsiteX11" fmla="*/ 1722120 w 2012615"/>
              <a:gd name="connsiteY11" fmla="*/ 30991 h 1402591"/>
              <a:gd name="connsiteX12" fmla="*/ 1821180 w 2012615"/>
              <a:gd name="connsiteY12" fmla="*/ 84331 h 1402591"/>
              <a:gd name="connsiteX13" fmla="*/ 1889760 w 2012615"/>
              <a:gd name="connsiteY13" fmla="*/ 130051 h 1402591"/>
              <a:gd name="connsiteX14" fmla="*/ 1981200 w 2012615"/>
              <a:gd name="connsiteY14" fmla="*/ 213871 h 1402591"/>
              <a:gd name="connsiteX15" fmla="*/ 2011680 w 2012615"/>
              <a:gd name="connsiteY15" fmla="*/ 267211 h 1402591"/>
              <a:gd name="connsiteX16" fmla="*/ 2004060 w 2012615"/>
              <a:gd name="connsiteY16" fmla="*/ 351031 h 1402591"/>
              <a:gd name="connsiteX17" fmla="*/ 1996440 w 2012615"/>
              <a:gd name="connsiteY17" fmla="*/ 419611 h 1402591"/>
              <a:gd name="connsiteX18" fmla="*/ 1935480 w 2012615"/>
              <a:gd name="connsiteY18" fmla="*/ 594871 h 1402591"/>
              <a:gd name="connsiteX19" fmla="*/ 1813560 w 2012615"/>
              <a:gd name="connsiteY19" fmla="*/ 732031 h 1402591"/>
              <a:gd name="connsiteX20" fmla="*/ 1722120 w 2012615"/>
              <a:gd name="connsiteY20" fmla="*/ 853951 h 1402591"/>
              <a:gd name="connsiteX21" fmla="*/ 1531620 w 2012615"/>
              <a:gd name="connsiteY21" fmla="*/ 960631 h 1402591"/>
              <a:gd name="connsiteX22" fmla="*/ 1287780 w 2012615"/>
              <a:gd name="connsiteY22" fmla="*/ 1090171 h 1402591"/>
              <a:gd name="connsiteX23" fmla="*/ 998220 w 2012615"/>
              <a:gd name="connsiteY23" fmla="*/ 1250191 h 1402591"/>
              <a:gd name="connsiteX24" fmla="*/ 784860 w 2012615"/>
              <a:gd name="connsiteY24" fmla="*/ 1288291 h 1402591"/>
              <a:gd name="connsiteX25" fmla="*/ 434340 w 2012615"/>
              <a:gd name="connsiteY25" fmla="*/ 1402591 h 14025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2012615" h="1402591">
                <a:moveTo>
                  <a:pt x="0" y="450091"/>
                </a:moveTo>
                <a:cubicBezTo>
                  <a:pt x="43815" y="404371"/>
                  <a:pt x="87630" y="358651"/>
                  <a:pt x="137160" y="328171"/>
                </a:cubicBezTo>
                <a:cubicBezTo>
                  <a:pt x="186690" y="297691"/>
                  <a:pt x="247650" y="288801"/>
                  <a:pt x="297180" y="267211"/>
                </a:cubicBezTo>
                <a:cubicBezTo>
                  <a:pt x="346710" y="245621"/>
                  <a:pt x="383540" y="218951"/>
                  <a:pt x="434340" y="198631"/>
                </a:cubicBezTo>
                <a:cubicBezTo>
                  <a:pt x="485140" y="178311"/>
                  <a:pt x="544830" y="165611"/>
                  <a:pt x="601980" y="145291"/>
                </a:cubicBezTo>
                <a:cubicBezTo>
                  <a:pt x="659130" y="124971"/>
                  <a:pt x="718820" y="93221"/>
                  <a:pt x="777240" y="76711"/>
                </a:cubicBezTo>
                <a:cubicBezTo>
                  <a:pt x="835660" y="60201"/>
                  <a:pt x="899160" y="56391"/>
                  <a:pt x="952500" y="46231"/>
                </a:cubicBezTo>
                <a:cubicBezTo>
                  <a:pt x="1005840" y="36071"/>
                  <a:pt x="1051560" y="22101"/>
                  <a:pt x="1097280" y="15751"/>
                </a:cubicBezTo>
                <a:cubicBezTo>
                  <a:pt x="1143000" y="9401"/>
                  <a:pt x="1226820" y="8131"/>
                  <a:pt x="1226820" y="8131"/>
                </a:cubicBezTo>
                <a:cubicBezTo>
                  <a:pt x="1285240" y="5591"/>
                  <a:pt x="1380490" y="-2029"/>
                  <a:pt x="1447800" y="511"/>
                </a:cubicBezTo>
                <a:cubicBezTo>
                  <a:pt x="1515110" y="3051"/>
                  <a:pt x="1584960" y="18291"/>
                  <a:pt x="1630680" y="23371"/>
                </a:cubicBezTo>
                <a:cubicBezTo>
                  <a:pt x="1676400" y="28451"/>
                  <a:pt x="1690370" y="20831"/>
                  <a:pt x="1722120" y="30991"/>
                </a:cubicBezTo>
                <a:cubicBezTo>
                  <a:pt x="1753870" y="41151"/>
                  <a:pt x="1793240" y="67821"/>
                  <a:pt x="1821180" y="84331"/>
                </a:cubicBezTo>
                <a:cubicBezTo>
                  <a:pt x="1849120" y="100841"/>
                  <a:pt x="1863090" y="108461"/>
                  <a:pt x="1889760" y="130051"/>
                </a:cubicBezTo>
                <a:cubicBezTo>
                  <a:pt x="1916430" y="151641"/>
                  <a:pt x="1960880" y="191011"/>
                  <a:pt x="1981200" y="213871"/>
                </a:cubicBezTo>
                <a:cubicBezTo>
                  <a:pt x="2001520" y="236731"/>
                  <a:pt x="2007870" y="244351"/>
                  <a:pt x="2011680" y="267211"/>
                </a:cubicBezTo>
                <a:cubicBezTo>
                  <a:pt x="2015490" y="290071"/>
                  <a:pt x="2006600" y="325631"/>
                  <a:pt x="2004060" y="351031"/>
                </a:cubicBezTo>
                <a:cubicBezTo>
                  <a:pt x="2001520" y="376431"/>
                  <a:pt x="2007870" y="378971"/>
                  <a:pt x="1996440" y="419611"/>
                </a:cubicBezTo>
                <a:cubicBezTo>
                  <a:pt x="1985010" y="460251"/>
                  <a:pt x="1965960" y="542801"/>
                  <a:pt x="1935480" y="594871"/>
                </a:cubicBezTo>
                <a:cubicBezTo>
                  <a:pt x="1905000" y="646941"/>
                  <a:pt x="1849120" y="688851"/>
                  <a:pt x="1813560" y="732031"/>
                </a:cubicBezTo>
                <a:cubicBezTo>
                  <a:pt x="1778000" y="775211"/>
                  <a:pt x="1769110" y="815851"/>
                  <a:pt x="1722120" y="853951"/>
                </a:cubicBezTo>
                <a:cubicBezTo>
                  <a:pt x="1675130" y="892051"/>
                  <a:pt x="1604010" y="921261"/>
                  <a:pt x="1531620" y="960631"/>
                </a:cubicBezTo>
                <a:cubicBezTo>
                  <a:pt x="1459230" y="1000001"/>
                  <a:pt x="1287780" y="1090171"/>
                  <a:pt x="1287780" y="1090171"/>
                </a:cubicBezTo>
                <a:cubicBezTo>
                  <a:pt x="1198880" y="1138431"/>
                  <a:pt x="1082040" y="1217171"/>
                  <a:pt x="998220" y="1250191"/>
                </a:cubicBezTo>
                <a:cubicBezTo>
                  <a:pt x="914400" y="1283211"/>
                  <a:pt x="878840" y="1262891"/>
                  <a:pt x="784860" y="1288291"/>
                </a:cubicBezTo>
                <a:cubicBezTo>
                  <a:pt x="690880" y="1313691"/>
                  <a:pt x="562610" y="1358141"/>
                  <a:pt x="434340" y="1402591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spect="1"/>
          </xdr:cNvSpPr>
        </xdr:nvSpPr>
        <xdr:spPr>
          <a:xfrm>
            <a:off x="3784092" y="2282952"/>
            <a:ext cx="64008" cy="64008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5" name="TextBox 1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1618234" y="2622299"/>
            <a:ext cx="251992" cy="261610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/>
              <a:t>a</a:t>
            </a:r>
          </a:p>
        </xdr:txBody>
      </xdr: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1751850" y="2820409"/>
            <a:ext cx="70600" cy="13716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1762010" y="2971800"/>
            <a:ext cx="12599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1582154" y="2520950"/>
            <a:ext cx="12599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/>
        </xdr:nvCxnSpPr>
        <xdr:spPr>
          <a:xfrm flipH="1" flipV="1">
            <a:off x="1651000" y="2535300"/>
            <a:ext cx="55880" cy="16218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spect="1"/>
          </xdr:cNvSpPr>
        </xdr:nvSpPr>
        <xdr:spPr>
          <a:xfrm>
            <a:off x="2755783" y="2821857"/>
            <a:ext cx="67208" cy="67208"/>
          </a:xfrm>
          <a:prstGeom prst="ellipse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>
            <a:stCxn id="30" idx="1"/>
            <a:endCxn id="21" idx="5"/>
          </xdr:cNvCxnSpPr>
        </xdr:nvCxnSpPr>
        <xdr:spPr>
          <a:xfrm flipH="1" flipV="1">
            <a:off x="1813330" y="2529610"/>
            <a:ext cx="952295" cy="302089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>
            <a:off x="2232660" y="3566160"/>
            <a:ext cx="254924" cy="70104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/>
        </xdr:nvCxnSpPr>
        <xdr:spPr>
          <a:xfrm>
            <a:off x="3915974" y="3048000"/>
            <a:ext cx="241461" cy="54102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>
            <a:stCxn id="35" idx="1"/>
          </xdr:cNvCxnSpPr>
        </xdr:nvCxnSpPr>
        <xdr:spPr>
          <a:xfrm flipH="1">
            <a:off x="2510029" y="3909722"/>
            <a:ext cx="668920" cy="266038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48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 rot="20450354">
            <a:off x="3171880" y="3740883"/>
            <a:ext cx="255198" cy="253916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/>
              <a:t>b</a:t>
            </a:r>
          </a:p>
        </xdr:txBody>
      </xdr:sp>
      <xdr:sp macro="" textlink="">
        <xdr:nvSpPr>
          <xdr:cNvPr id="36" name="TextBox 49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 txBox="1"/>
        </xdr:nvSpPr>
        <xdr:spPr>
          <a:xfrm rot="20263256">
            <a:off x="3452149" y="3330000"/>
            <a:ext cx="258404" cy="230833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/>
              <a:t>R</a:t>
            </a:r>
          </a:p>
        </xdr:txBody>
      </xdr: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CxnSpPr/>
        </xdr:nvCxnSpPr>
        <xdr:spPr>
          <a:xfrm flipV="1">
            <a:off x="3447289" y="3526381"/>
            <a:ext cx="644651" cy="25433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CxnSpPr/>
        </xdr:nvCxnSpPr>
        <xdr:spPr>
          <a:xfrm>
            <a:off x="2834640" y="2941320"/>
            <a:ext cx="335280" cy="7620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>
            <a:stCxn id="36" idx="1"/>
          </xdr:cNvCxnSpPr>
        </xdr:nvCxnSpPr>
        <xdr:spPr>
          <a:xfrm flipH="1">
            <a:off x="3161928" y="3494400"/>
            <a:ext cx="299866" cy="124716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CxnSpPr/>
        </xdr:nvCxnSpPr>
        <xdr:spPr>
          <a:xfrm flipV="1">
            <a:off x="3654933" y="3290825"/>
            <a:ext cx="322326" cy="127165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TextBox 7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3848191" y="2442040"/>
            <a:ext cx="255198" cy="253916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/>
              <a:t>h</a:t>
            </a:r>
          </a:p>
        </xdr:txBody>
      </xdr: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>
            <a:cxnSpLocks noChangeAspect="1"/>
          </xdr:cNvCxnSpPr>
        </xdr:nvCxnSpPr>
        <xdr:spPr>
          <a:xfrm>
            <a:off x="3970020" y="2652780"/>
            <a:ext cx="0" cy="113509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CxnSpPr/>
        </xdr:nvCxnSpPr>
        <xdr:spPr>
          <a:xfrm>
            <a:off x="3904984" y="2788920"/>
            <a:ext cx="12599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/>
        </xdr:nvCxnSpPr>
        <xdr:spPr>
          <a:xfrm>
            <a:off x="3901912" y="2311144"/>
            <a:ext cx="12599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Arrow Connector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CxnSpPr>
            <a:cxnSpLocks noChangeAspect="1"/>
          </xdr:cNvCxnSpPr>
        </xdr:nvCxnSpPr>
        <xdr:spPr>
          <a:xfrm flipH="1" flipV="1">
            <a:off x="3962387" y="2328818"/>
            <a:ext cx="5215" cy="159499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Arc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 rot="19910028">
            <a:off x="2360111" y="2735941"/>
            <a:ext cx="701391" cy="585552"/>
          </a:xfrm>
          <a:prstGeom prst="arc">
            <a:avLst>
              <a:gd name="adj1" fmla="val 16200000"/>
              <a:gd name="adj2" fmla="val 21098886"/>
            </a:avLst>
          </a:prstGeom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7" name="TextBox 81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 txBox="1"/>
        </xdr:nvSpPr>
        <xdr:spPr>
          <a:xfrm>
            <a:off x="2667000" y="2568289"/>
            <a:ext cx="25840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700">
                <a:sym typeface="Symbol"/>
              </a:rPr>
              <a:t></a:t>
            </a:r>
            <a:endParaRPr lang="en-US" sz="700"/>
          </a:p>
        </xdr:txBody>
      </xdr:sp>
    </xdr:grpSp>
    <xdr:clientData/>
  </xdr:twoCellAnchor>
  <xdr:twoCellAnchor>
    <xdr:from>
      <xdr:col>19</xdr:col>
      <xdr:colOff>456962</xdr:colOff>
      <xdr:row>3</xdr:row>
      <xdr:rowOff>82725</xdr:rowOff>
    </xdr:from>
    <xdr:to>
      <xdr:col>26</xdr:col>
      <xdr:colOff>353547</xdr:colOff>
      <xdr:row>8</xdr:row>
      <xdr:rowOff>48699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3256748" y="790296"/>
          <a:ext cx="3488870" cy="673546"/>
          <a:chOff x="4343400" y="2708140"/>
          <a:chExt cx="3352800" cy="646331"/>
        </a:xfrm>
      </xdr:grpSpPr>
      <xdr:sp macro="" textlink="">
        <xdr:nvSpPr>
          <xdr:cNvPr id="15" name="TextBox 8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4343400" y="2820409"/>
            <a:ext cx="536360" cy="3741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V =</a:t>
            </a:r>
          </a:p>
        </xdr:txBody>
      </xdr:sp>
      <xdr:sp macro="" textlink="">
        <xdr:nvSpPr>
          <xdr:cNvPr id="16" name="TextBox 8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4671060" y="2708140"/>
            <a:ext cx="423513" cy="6463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u="sng"/>
              <a:t> h </a:t>
            </a:r>
          </a:p>
          <a:p>
            <a:pPr algn="ctr"/>
            <a:r>
              <a:rPr lang="en-US"/>
              <a:t>3b</a:t>
            </a:r>
          </a:p>
        </xdr:txBody>
      </xdr:sp>
      <xdr:sp macro="" textlink="">
        <xdr:nvSpPr>
          <xdr:cNvPr id="17" name="TextBox 8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4953000" y="2819400"/>
            <a:ext cx="2743200" cy="386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[a(3R² - a²) + 3R² (b - R) </a:t>
            </a:r>
            <a:r>
              <a:rPr lang="en-US">
                <a:sym typeface="Symbol"/>
              </a:rPr>
              <a:t>]</a:t>
            </a:r>
            <a:endParaRPr lang="en-US"/>
          </a:p>
        </xdr:txBody>
      </xdr:sp>
    </xdr:grpSp>
    <xdr:clientData/>
  </xdr:twoCellAnchor>
  <xdr:twoCellAnchor>
    <xdr:from>
      <xdr:col>19</xdr:col>
      <xdr:colOff>421822</xdr:colOff>
      <xdr:row>8</xdr:row>
      <xdr:rowOff>2721</xdr:rowOff>
    </xdr:from>
    <xdr:to>
      <xdr:col>23</xdr:col>
      <xdr:colOff>210640</xdr:colOff>
      <xdr:row>14</xdr:row>
      <xdr:rowOff>5527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13221608" y="1417864"/>
          <a:ext cx="1711961" cy="710377"/>
          <a:chOff x="11783786" y="1417864"/>
          <a:chExt cx="1639390" cy="655949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11783786" y="1564821"/>
            <a:ext cx="58156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/>
              <a:t> R = </a:t>
            </a:r>
          </a:p>
        </xdr:txBody>
      </xdr: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 txBox="1"/>
        </xdr:nvSpPr>
        <xdr:spPr>
          <a:xfrm>
            <a:off x="12235543" y="1417864"/>
            <a:ext cx="1187633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800" u="sng"/>
              <a:t>(a^2 +b^2)</a:t>
            </a:r>
          </a:p>
          <a:p>
            <a:pPr algn="ctr"/>
            <a:r>
              <a:rPr lang="en-US" sz="1800" u="none"/>
              <a:t>2b</a:t>
            </a:r>
          </a:p>
        </xdr:txBody>
      </xdr:sp>
    </xdr:grpSp>
    <xdr:clientData/>
  </xdr:twoCellAnchor>
  <xdr:twoCellAnchor>
    <xdr:from>
      <xdr:col>19</xdr:col>
      <xdr:colOff>394608</xdr:colOff>
      <xdr:row>11</xdr:row>
      <xdr:rowOff>87086</xdr:rowOff>
    </xdr:from>
    <xdr:to>
      <xdr:col>25</xdr:col>
      <xdr:colOff>182064</xdr:colOff>
      <xdr:row>19</xdr:row>
      <xdr:rowOff>5453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13194394" y="1856015"/>
          <a:ext cx="2527027" cy="843652"/>
          <a:chOff x="15689036" y="3230336"/>
          <a:chExt cx="2427242" cy="789224"/>
        </a:xfrm>
      </xdr:grpSpPr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 txBox="1"/>
        </xdr:nvSpPr>
        <xdr:spPr>
          <a:xfrm>
            <a:off x="16233322" y="3333750"/>
            <a:ext cx="301686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u="sng"/>
              <a:t>1</a:t>
            </a:r>
          </a:p>
          <a:p>
            <a:r>
              <a:rPr lang="en-US" sz="1800" u="none"/>
              <a:t>2</a:t>
            </a:r>
          </a:p>
        </xdr:txBody>
      </xdr:sp>
      <xdr:sp macro="" textlink="">
        <xdr:nvSpPr>
          <xdr:cNvPr id="53" name="TextBox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 txBox="1"/>
        </xdr:nvSpPr>
        <xdr:spPr>
          <a:xfrm>
            <a:off x="16412936" y="3458936"/>
            <a:ext cx="101803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sz="1800"/>
              <a:t>π</a:t>
            </a:r>
            <a:r>
              <a:rPr lang="en-US" sz="1800"/>
              <a:t> + tan</a:t>
            </a:r>
            <a:r>
              <a:rPr lang="en-US" sz="1800" baseline="30000"/>
              <a:t>-1</a:t>
            </a:r>
            <a:r>
              <a:rPr lang="en-US" sz="1800"/>
              <a:t> </a:t>
            </a:r>
            <a:endParaRPr lang="en-US" sz="1800" u="none"/>
          </a:p>
        </xdr:txBody>
      </xdr: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 txBox="1"/>
        </xdr:nvSpPr>
        <xdr:spPr>
          <a:xfrm>
            <a:off x="17351818" y="3322864"/>
            <a:ext cx="606320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800" u="sng"/>
              <a:t>b - R</a:t>
            </a:r>
          </a:p>
          <a:p>
            <a:pPr algn="ctr"/>
            <a:r>
              <a:rPr lang="en-US" sz="1800" u="none"/>
              <a:t>a</a:t>
            </a:r>
          </a:p>
        </xdr:txBody>
      </xdr: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 txBox="1"/>
        </xdr:nvSpPr>
        <xdr:spPr>
          <a:xfrm>
            <a:off x="17201840" y="3230336"/>
            <a:ext cx="340221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4000" u="none"/>
              <a:t>(</a:t>
            </a:r>
          </a:p>
        </xdr:txBody>
      </xdr: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 txBox="1"/>
        </xdr:nvSpPr>
        <xdr:spPr>
          <a:xfrm rot="10800000">
            <a:off x="17776057" y="3301094"/>
            <a:ext cx="340221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4000" u="none"/>
              <a:t>(</a:t>
            </a:r>
          </a:p>
        </xdr:txBody>
      </xdr: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SpPr txBox="1"/>
        </xdr:nvSpPr>
        <xdr:spPr>
          <a:xfrm>
            <a:off x="15689036" y="3442607"/>
            <a:ext cx="58156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/>
              <a:t> </a:t>
            </a:r>
            <a:r>
              <a:rPr lang="en-US" sz="1800">
                <a:sym typeface="Symbol"/>
              </a:rPr>
              <a:t></a:t>
            </a:r>
            <a:r>
              <a:rPr lang="en-US" sz="1800"/>
              <a:t> = 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2</xdr:col>
      <xdr:colOff>66675</xdr:colOff>
      <xdr:row>7</xdr:row>
      <xdr:rowOff>133350</xdr:rowOff>
    </xdr:to>
    <xdr:pic>
      <xdr:nvPicPr>
        <xdr:cNvPr id="5" name="Picture 4" descr="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6375"/>
          <a:ext cx="66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85725</xdr:colOff>
      <xdr:row>7</xdr:row>
      <xdr:rowOff>133350</xdr:rowOff>
    </xdr:to>
    <xdr:pic>
      <xdr:nvPicPr>
        <xdr:cNvPr id="6" name="Picture 5" descr="=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763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276225</xdr:colOff>
      <xdr:row>8</xdr:row>
      <xdr:rowOff>66675</xdr:rowOff>
    </xdr:to>
    <xdr:pic>
      <xdr:nvPicPr>
        <xdr:cNvPr id="7" name="Picture 6" descr="sqrt(R^2-(b-R)^2)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6375"/>
          <a:ext cx="885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114300</xdr:colOff>
      <xdr:row>8</xdr:row>
      <xdr:rowOff>133350</xdr:rowOff>
    </xdr:to>
    <xdr:pic>
      <xdr:nvPicPr>
        <xdr:cNvPr id="8" name="Picture 7" descr="http://mathworld.wolfram.com/images/equations/CylindricalWedge/Inline13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6875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85725</xdr:colOff>
      <xdr:row>8</xdr:row>
      <xdr:rowOff>133350</xdr:rowOff>
    </xdr:to>
    <xdr:pic>
      <xdr:nvPicPr>
        <xdr:cNvPr id="9" name="Picture 8" descr="=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668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142875</xdr:colOff>
      <xdr:row>9</xdr:row>
      <xdr:rowOff>0</xdr:rowOff>
    </xdr:to>
    <xdr:pic>
      <xdr:nvPicPr>
        <xdr:cNvPr id="10" name="Picture 9" descr="sqrt(b(2R-b)).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6875"/>
          <a:ext cx="7524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66675</xdr:colOff>
      <xdr:row>20</xdr:row>
      <xdr:rowOff>133350</xdr:rowOff>
    </xdr:to>
    <xdr:pic>
      <xdr:nvPicPr>
        <xdr:cNvPr id="11" name="Picture 10" descr="a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10325"/>
          <a:ext cx="66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85725</xdr:colOff>
      <xdr:row>20</xdr:row>
      <xdr:rowOff>133350</xdr:rowOff>
    </xdr:to>
    <xdr:pic>
      <xdr:nvPicPr>
        <xdr:cNvPr id="12" name="Picture 11" descr="=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10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371475</xdr:colOff>
      <xdr:row>20</xdr:row>
      <xdr:rowOff>133350</xdr:rowOff>
    </xdr:to>
    <xdr:pic>
      <xdr:nvPicPr>
        <xdr:cNvPr id="13" name="Picture 12" descr="Rsinphi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10325"/>
          <a:ext cx="3714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66675</xdr:colOff>
      <xdr:row>21</xdr:row>
      <xdr:rowOff>133350</xdr:rowOff>
    </xdr:to>
    <xdr:pic>
      <xdr:nvPicPr>
        <xdr:cNvPr id="14" name="Picture 13" descr="b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00825"/>
          <a:ext cx="66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85725</xdr:colOff>
      <xdr:row>21</xdr:row>
      <xdr:rowOff>133350</xdr:rowOff>
    </xdr:to>
    <xdr:pic>
      <xdr:nvPicPr>
        <xdr:cNvPr id="15" name="Picture 14" descr="=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008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5</xdr:col>
      <xdr:colOff>76200</xdr:colOff>
      <xdr:row>21</xdr:row>
      <xdr:rowOff>133350</xdr:rowOff>
    </xdr:to>
    <xdr:pic>
      <xdr:nvPicPr>
        <xdr:cNvPr id="16" name="Picture 15" descr="R(1-cosphi)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00825"/>
          <a:ext cx="685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123825</xdr:colOff>
      <xdr:row>22</xdr:row>
      <xdr:rowOff>161925</xdr:rowOff>
    </xdr:to>
    <xdr:pic>
      <xdr:nvPicPr>
        <xdr:cNvPr id="17" name="Picture 16" descr="b^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91325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85725</xdr:colOff>
      <xdr:row>22</xdr:row>
      <xdr:rowOff>133350</xdr:rowOff>
    </xdr:to>
    <xdr:pic>
      <xdr:nvPicPr>
        <xdr:cNvPr id="18" name="Picture 17" descr="=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91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542925</xdr:colOff>
      <xdr:row>22</xdr:row>
      <xdr:rowOff>161925</xdr:rowOff>
    </xdr:to>
    <xdr:pic>
      <xdr:nvPicPr>
        <xdr:cNvPr id="19" name="Picture 18" descr="2bR-a^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91325"/>
          <a:ext cx="542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76200</xdr:colOff>
      <xdr:row>23</xdr:row>
      <xdr:rowOff>133350</xdr:rowOff>
    </xdr:to>
    <xdr:pic>
      <xdr:nvPicPr>
        <xdr:cNvPr id="20" name="Picture 19" descr="phi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81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85725</xdr:colOff>
      <xdr:row>23</xdr:row>
      <xdr:rowOff>133350</xdr:rowOff>
    </xdr:to>
    <xdr:pic>
      <xdr:nvPicPr>
        <xdr:cNvPr id="21" name="Picture 20" descr="=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818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476250</xdr:colOff>
      <xdr:row>24</xdr:row>
      <xdr:rowOff>142875</xdr:rowOff>
    </xdr:to>
    <xdr:pic>
      <xdr:nvPicPr>
        <xdr:cNvPr id="22" name="Picture 21" descr="1/2pi+tan^(-1)((b-R)/a)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81825"/>
          <a:ext cx="10858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394608</xdr:colOff>
      <xdr:row>32</xdr:row>
      <xdr:rowOff>27214</xdr:rowOff>
    </xdr:from>
    <xdr:to>
      <xdr:col>8</xdr:col>
      <xdr:colOff>488382</xdr:colOff>
      <xdr:row>35</xdr:row>
      <xdr:rowOff>163285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1" y="6803571"/>
          <a:ext cx="4121488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66675</xdr:colOff>
      <xdr:row>21</xdr:row>
      <xdr:rowOff>133350</xdr:rowOff>
    </xdr:to>
    <xdr:pic>
      <xdr:nvPicPr>
        <xdr:cNvPr id="2" name="Picture 1" descr="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6375"/>
          <a:ext cx="66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85725</xdr:colOff>
      <xdr:row>21</xdr:row>
      <xdr:rowOff>133350</xdr:rowOff>
    </xdr:to>
    <xdr:pic>
      <xdr:nvPicPr>
        <xdr:cNvPr id="3" name="Picture 2" descr="=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4763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276225</xdr:colOff>
      <xdr:row>22</xdr:row>
      <xdr:rowOff>66675</xdr:rowOff>
    </xdr:to>
    <xdr:pic>
      <xdr:nvPicPr>
        <xdr:cNvPr id="4" name="Picture 3" descr="sqrt(R^2-(b-R)^2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476375"/>
          <a:ext cx="885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114300</xdr:colOff>
      <xdr:row>22</xdr:row>
      <xdr:rowOff>133350</xdr:rowOff>
    </xdr:to>
    <xdr:pic>
      <xdr:nvPicPr>
        <xdr:cNvPr id="5" name="Picture 4" descr="http://mathworld.wolfram.com/images/equations/CylindricalWedge/Inline13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6875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85725</xdr:colOff>
      <xdr:row>22</xdr:row>
      <xdr:rowOff>133350</xdr:rowOff>
    </xdr:to>
    <xdr:pic>
      <xdr:nvPicPr>
        <xdr:cNvPr id="6" name="Picture 5" descr="=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6668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142875</xdr:colOff>
      <xdr:row>23</xdr:row>
      <xdr:rowOff>0</xdr:rowOff>
    </xdr:to>
    <xdr:pic>
      <xdr:nvPicPr>
        <xdr:cNvPr id="7" name="Picture 6" descr="sqrt(b(2R-b)).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666875"/>
          <a:ext cx="7524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66675</xdr:colOff>
      <xdr:row>31</xdr:row>
      <xdr:rowOff>133350</xdr:rowOff>
    </xdr:to>
    <xdr:pic>
      <xdr:nvPicPr>
        <xdr:cNvPr id="8" name="Picture 7" descr="a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76700"/>
          <a:ext cx="66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85725</xdr:colOff>
      <xdr:row>31</xdr:row>
      <xdr:rowOff>133350</xdr:rowOff>
    </xdr:to>
    <xdr:pic>
      <xdr:nvPicPr>
        <xdr:cNvPr id="9" name="Picture 8" descr="=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0767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371475</xdr:colOff>
      <xdr:row>31</xdr:row>
      <xdr:rowOff>133350</xdr:rowOff>
    </xdr:to>
    <xdr:pic>
      <xdr:nvPicPr>
        <xdr:cNvPr id="10" name="Picture 9" descr="Rsinphi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4076700"/>
          <a:ext cx="3714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66675</xdr:colOff>
      <xdr:row>32</xdr:row>
      <xdr:rowOff>133350</xdr:rowOff>
    </xdr:to>
    <xdr:pic>
      <xdr:nvPicPr>
        <xdr:cNvPr id="11" name="Picture 10" descr="b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67200"/>
          <a:ext cx="666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85725</xdr:colOff>
      <xdr:row>32</xdr:row>
      <xdr:rowOff>133350</xdr:rowOff>
    </xdr:to>
    <xdr:pic>
      <xdr:nvPicPr>
        <xdr:cNvPr id="12" name="Picture 11" descr="=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2672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76200</xdr:colOff>
      <xdr:row>32</xdr:row>
      <xdr:rowOff>133350</xdr:rowOff>
    </xdr:to>
    <xdr:pic>
      <xdr:nvPicPr>
        <xdr:cNvPr id="13" name="Picture 12" descr="R(1-cosphi)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4267200"/>
          <a:ext cx="685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123825</xdr:colOff>
      <xdr:row>33</xdr:row>
      <xdr:rowOff>161925</xdr:rowOff>
    </xdr:to>
    <xdr:pic>
      <xdr:nvPicPr>
        <xdr:cNvPr id="14" name="Picture 13" descr="b^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57700"/>
          <a:ext cx="123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85725</xdr:colOff>
      <xdr:row>33</xdr:row>
      <xdr:rowOff>133350</xdr:rowOff>
    </xdr:to>
    <xdr:pic>
      <xdr:nvPicPr>
        <xdr:cNvPr id="15" name="Picture 14" descr="=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4577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542925</xdr:colOff>
      <xdr:row>33</xdr:row>
      <xdr:rowOff>161925</xdr:rowOff>
    </xdr:to>
    <xdr:pic>
      <xdr:nvPicPr>
        <xdr:cNvPr id="16" name="Picture 15" descr="2bR-a^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4457700"/>
          <a:ext cx="542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76200</xdr:colOff>
      <xdr:row>34</xdr:row>
      <xdr:rowOff>133350</xdr:rowOff>
    </xdr:to>
    <xdr:pic>
      <xdr:nvPicPr>
        <xdr:cNvPr id="17" name="Picture 16" descr="phi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48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85725</xdr:colOff>
      <xdr:row>34</xdr:row>
      <xdr:rowOff>133350</xdr:rowOff>
    </xdr:to>
    <xdr:pic>
      <xdr:nvPicPr>
        <xdr:cNvPr id="18" name="Picture 17" descr="=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6482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476250</xdr:colOff>
      <xdr:row>35</xdr:row>
      <xdr:rowOff>142875</xdr:rowOff>
    </xdr:to>
    <xdr:pic>
      <xdr:nvPicPr>
        <xdr:cNvPr id="19" name="Picture 18" descr="1/2pi+tan^(-1)((b-R)/a)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4648200"/>
          <a:ext cx="10858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394608</xdr:colOff>
      <xdr:row>41</xdr:row>
      <xdr:rowOff>27214</xdr:rowOff>
    </xdr:from>
    <xdr:to>
      <xdr:col>6</xdr:col>
      <xdr:colOff>488382</xdr:colOff>
      <xdr:row>44</xdr:row>
      <xdr:rowOff>163285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808" y="6485164"/>
          <a:ext cx="4113324" cy="75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3</xdr:row>
      <xdr:rowOff>9525</xdr:rowOff>
    </xdr:from>
    <xdr:to>
      <xdr:col>4</xdr:col>
      <xdr:colOff>184507</xdr:colOff>
      <xdr:row>14</xdr:row>
      <xdr:rowOff>109096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GrpSpPr/>
      </xdr:nvGrpSpPr>
      <xdr:grpSpPr>
        <a:xfrm>
          <a:off x="47625" y="560972"/>
          <a:ext cx="2576619" cy="2121545"/>
          <a:chOff x="1582154" y="2072129"/>
          <a:chExt cx="2575281" cy="2195071"/>
        </a:xfrm>
      </xdr:grpSpPr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CxnSpPr/>
        </xdr:nvCxnSpPr>
        <xdr:spPr>
          <a:xfrm>
            <a:off x="1775460" y="2506980"/>
            <a:ext cx="411480" cy="950976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Freeform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1775460" y="2375000"/>
            <a:ext cx="2041412" cy="577750"/>
          </a:xfrm>
          <a:custGeom>
            <a:avLst/>
            <a:gdLst>
              <a:gd name="connsiteX0" fmla="*/ 0 w 2041412"/>
              <a:gd name="connsiteY0" fmla="*/ 162460 h 634900"/>
              <a:gd name="connsiteX1" fmla="*/ 91440 w 2041412"/>
              <a:gd name="connsiteY1" fmla="*/ 93880 h 634900"/>
              <a:gd name="connsiteX2" fmla="*/ 381000 w 2041412"/>
              <a:gd name="connsiteY2" fmla="*/ 40540 h 634900"/>
              <a:gd name="connsiteX3" fmla="*/ 662940 w 2041412"/>
              <a:gd name="connsiteY3" fmla="*/ 17680 h 634900"/>
              <a:gd name="connsiteX4" fmla="*/ 998220 w 2041412"/>
              <a:gd name="connsiteY4" fmla="*/ 2440 h 634900"/>
              <a:gd name="connsiteX5" fmla="*/ 1409700 w 2041412"/>
              <a:gd name="connsiteY5" fmla="*/ 71020 h 634900"/>
              <a:gd name="connsiteX6" fmla="*/ 1668780 w 2041412"/>
              <a:gd name="connsiteY6" fmla="*/ 154840 h 634900"/>
              <a:gd name="connsiteX7" fmla="*/ 1851660 w 2041412"/>
              <a:gd name="connsiteY7" fmla="*/ 276760 h 634900"/>
              <a:gd name="connsiteX8" fmla="*/ 2004060 w 2041412"/>
              <a:gd name="connsiteY8" fmla="*/ 383440 h 634900"/>
              <a:gd name="connsiteX9" fmla="*/ 2019300 w 2041412"/>
              <a:gd name="connsiteY9" fmla="*/ 421540 h 634900"/>
              <a:gd name="connsiteX10" fmla="*/ 1737360 w 2041412"/>
              <a:gd name="connsiteY10" fmla="*/ 444400 h 634900"/>
              <a:gd name="connsiteX11" fmla="*/ 1234440 w 2041412"/>
              <a:gd name="connsiteY11" fmla="*/ 490120 h 634900"/>
              <a:gd name="connsiteX12" fmla="*/ 906780 w 2041412"/>
              <a:gd name="connsiteY12" fmla="*/ 543460 h 634900"/>
              <a:gd name="connsiteX13" fmla="*/ 419100 w 2041412"/>
              <a:gd name="connsiteY13" fmla="*/ 596800 h 634900"/>
              <a:gd name="connsiteX14" fmla="*/ 350520 w 2041412"/>
              <a:gd name="connsiteY14" fmla="*/ 596800 h 634900"/>
              <a:gd name="connsiteX15" fmla="*/ 289560 w 2041412"/>
              <a:gd name="connsiteY15" fmla="*/ 612040 h 634900"/>
              <a:gd name="connsiteX16" fmla="*/ 205740 w 2041412"/>
              <a:gd name="connsiteY16" fmla="*/ 634900 h 634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</a:cxnLst>
            <a:rect l="l" t="t" r="r" b="b"/>
            <a:pathLst>
              <a:path w="2041412" h="634900">
                <a:moveTo>
                  <a:pt x="0" y="162460"/>
                </a:moveTo>
                <a:cubicBezTo>
                  <a:pt x="13970" y="138330"/>
                  <a:pt x="27940" y="114200"/>
                  <a:pt x="91440" y="93880"/>
                </a:cubicBezTo>
                <a:cubicBezTo>
                  <a:pt x="154940" y="73560"/>
                  <a:pt x="285750" y="53240"/>
                  <a:pt x="381000" y="40540"/>
                </a:cubicBezTo>
                <a:cubicBezTo>
                  <a:pt x="476250" y="27840"/>
                  <a:pt x="560070" y="24030"/>
                  <a:pt x="662940" y="17680"/>
                </a:cubicBezTo>
                <a:cubicBezTo>
                  <a:pt x="765810" y="11330"/>
                  <a:pt x="873760" y="-6450"/>
                  <a:pt x="998220" y="2440"/>
                </a:cubicBezTo>
                <a:cubicBezTo>
                  <a:pt x="1122680" y="11330"/>
                  <a:pt x="1297940" y="45620"/>
                  <a:pt x="1409700" y="71020"/>
                </a:cubicBezTo>
                <a:cubicBezTo>
                  <a:pt x="1521460" y="96420"/>
                  <a:pt x="1595120" y="120550"/>
                  <a:pt x="1668780" y="154840"/>
                </a:cubicBezTo>
                <a:cubicBezTo>
                  <a:pt x="1742440" y="189130"/>
                  <a:pt x="1795780" y="238660"/>
                  <a:pt x="1851660" y="276760"/>
                </a:cubicBezTo>
                <a:cubicBezTo>
                  <a:pt x="1907540" y="314860"/>
                  <a:pt x="1976120" y="359310"/>
                  <a:pt x="2004060" y="383440"/>
                </a:cubicBezTo>
                <a:cubicBezTo>
                  <a:pt x="2032000" y="407570"/>
                  <a:pt x="2063750" y="411380"/>
                  <a:pt x="2019300" y="421540"/>
                </a:cubicBezTo>
                <a:cubicBezTo>
                  <a:pt x="1974850" y="431700"/>
                  <a:pt x="1737360" y="444400"/>
                  <a:pt x="1737360" y="444400"/>
                </a:cubicBezTo>
                <a:cubicBezTo>
                  <a:pt x="1606550" y="455830"/>
                  <a:pt x="1372870" y="473610"/>
                  <a:pt x="1234440" y="490120"/>
                </a:cubicBezTo>
                <a:cubicBezTo>
                  <a:pt x="1096010" y="506630"/>
                  <a:pt x="1042670" y="525680"/>
                  <a:pt x="906780" y="543460"/>
                </a:cubicBezTo>
                <a:cubicBezTo>
                  <a:pt x="770890" y="561240"/>
                  <a:pt x="511810" y="587910"/>
                  <a:pt x="419100" y="596800"/>
                </a:cubicBezTo>
                <a:cubicBezTo>
                  <a:pt x="326390" y="605690"/>
                  <a:pt x="372110" y="594260"/>
                  <a:pt x="350520" y="596800"/>
                </a:cubicBezTo>
                <a:cubicBezTo>
                  <a:pt x="328930" y="599340"/>
                  <a:pt x="289560" y="612040"/>
                  <a:pt x="289560" y="612040"/>
                </a:cubicBezTo>
                <a:lnTo>
                  <a:pt x="205740" y="634900"/>
                </a:lnTo>
              </a:path>
            </a:pathLst>
          </a:custGeom>
          <a:noFill/>
          <a:ln w="12700">
            <a:solidFill>
              <a:schemeClr val="tx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9" name="Freeform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2217420" y="2362200"/>
            <a:ext cx="1617133" cy="1120815"/>
          </a:xfrm>
          <a:custGeom>
            <a:avLst/>
            <a:gdLst>
              <a:gd name="connsiteX0" fmla="*/ 1607820 w 1617133"/>
              <a:gd name="connsiteY0" fmla="*/ 0 h 1120815"/>
              <a:gd name="connsiteX1" fmla="*/ 1607820 w 1617133"/>
              <a:gd name="connsiteY1" fmla="*/ 76200 h 1120815"/>
              <a:gd name="connsiteX2" fmla="*/ 1615440 w 1617133"/>
              <a:gd name="connsiteY2" fmla="*/ 175260 h 1120815"/>
              <a:gd name="connsiteX3" fmla="*/ 1615440 w 1617133"/>
              <a:gd name="connsiteY3" fmla="*/ 358140 h 1120815"/>
              <a:gd name="connsiteX4" fmla="*/ 1615440 w 1617133"/>
              <a:gd name="connsiteY4" fmla="*/ 472440 h 1120815"/>
              <a:gd name="connsiteX5" fmla="*/ 1615440 w 1617133"/>
              <a:gd name="connsiteY5" fmla="*/ 579120 h 1120815"/>
              <a:gd name="connsiteX6" fmla="*/ 1592580 w 1617133"/>
              <a:gd name="connsiteY6" fmla="*/ 670560 h 1120815"/>
              <a:gd name="connsiteX7" fmla="*/ 1546860 w 1617133"/>
              <a:gd name="connsiteY7" fmla="*/ 739140 h 1120815"/>
              <a:gd name="connsiteX8" fmla="*/ 1501140 w 1617133"/>
              <a:gd name="connsiteY8" fmla="*/ 807720 h 1120815"/>
              <a:gd name="connsiteX9" fmla="*/ 1379220 w 1617133"/>
              <a:gd name="connsiteY9" fmla="*/ 906780 h 1120815"/>
              <a:gd name="connsiteX10" fmla="*/ 1112520 w 1617133"/>
              <a:gd name="connsiteY10" fmla="*/ 1005840 h 1120815"/>
              <a:gd name="connsiteX11" fmla="*/ 853440 w 1617133"/>
              <a:gd name="connsiteY11" fmla="*/ 1082040 h 1120815"/>
              <a:gd name="connsiteX12" fmla="*/ 601980 w 1617133"/>
              <a:gd name="connsiteY12" fmla="*/ 1097280 h 1120815"/>
              <a:gd name="connsiteX13" fmla="*/ 304800 w 1617133"/>
              <a:gd name="connsiteY13" fmla="*/ 1120140 h 1120815"/>
              <a:gd name="connsiteX14" fmla="*/ 0 w 1617133"/>
              <a:gd name="connsiteY14" fmla="*/ 1112520 h 11208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1617133" h="1120815">
                <a:moveTo>
                  <a:pt x="1607820" y="0"/>
                </a:moveTo>
                <a:cubicBezTo>
                  <a:pt x="1607185" y="23495"/>
                  <a:pt x="1606550" y="46990"/>
                  <a:pt x="1607820" y="76200"/>
                </a:cubicBezTo>
                <a:cubicBezTo>
                  <a:pt x="1609090" y="105410"/>
                  <a:pt x="1614170" y="128270"/>
                  <a:pt x="1615440" y="175260"/>
                </a:cubicBezTo>
                <a:cubicBezTo>
                  <a:pt x="1616710" y="222250"/>
                  <a:pt x="1615440" y="358140"/>
                  <a:pt x="1615440" y="358140"/>
                </a:cubicBezTo>
                <a:lnTo>
                  <a:pt x="1615440" y="472440"/>
                </a:lnTo>
                <a:cubicBezTo>
                  <a:pt x="1615440" y="509270"/>
                  <a:pt x="1619250" y="546100"/>
                  <a:pt x="1615440" y="579120"/>
                </a:cubicBezTo>
                <a:cubicBezTo>
                  <a:pt x="1611630" y="612140"/>
                  <a:pt x="1604010" y="643890"/>
                  <a:pt x="1592580" y="670560"/>
                </a:cubicBezTo>
                <a:cubicBezTo>
                  <a:pt x="1581150" y="697230"/>
                  <a:pt x="1546860" y="739140"/>
                  <a:pt x="1546860" y="739140"/>
                </a:cubicBezTo>
                <a:cubicBezTo>
                  <a:pt x="1531620" y="762000"/>
                  <a:pt x="1529080" y="779780"/>
                  <a:pt x="1501140" y="807720"/>
                </a:cubicBezTo>
                <a:cubicBezTo>
                  <a:pt x="1473200" y="835660"/>
                  <a:pt x="1443990" y="873760"/>
                  <a:pt x="1379220" y="906780"/>
                </a:cubicBezTo>
                <a:cubicBezTo>
                  <a:pt x="1314450" y="939800"/>
                  <a:pt x="1200150" y="976630"/>
                  <a:pt x="1112520" y="1005840"/>
                </a:cubicBezTo>
                <a:cubicBezTo>
                  <a:pt x="1024890" y="1035050"/>
                  <a:pt x="938530" y="1066800"/>
                  <a:pt x="853440" y="1082040"/>
                </a:cubicBezTo>
                <a:cubicBezTo>
                  <a:pt x="768350" y="1097280"/>
                  <a:pt x="601980" y="1097280"/>
                  <a:pt x="601980" y="1097280"/>
                </a:cubicBezTo>
                <a:cubicBezTo>
                  <a:pt x="510540" y="1103630"/>
                  <a:pt x="405130" y="1117600"/>
                  <a:pt x="304800" y="1120140"/>
                </a:cubicBezTo>
                <a:cubicBezTo>
                  <a:pt x="204470" y="1122680"/>
                  <a:pt x="102235" y="1117600"/>
                  <a:pt x="0" y="1112520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0" name="Oval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spect="1"/>
          </xdr:cNvSpPr>
        </xdr:nvSpPr>
        <xdr:spPr>
          <a:xfrm>
            <a:off x="1758696" y="2474976"/>
            <a:ext cx="64008" cy="64008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1" name="Oval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Aspect="1"/>
          </xdr:cNvSpPr>
        </xdr:nvSpPr>
        <xdr:spPr>
          <a:xfrm>
            <a:off x="2174748" y="3442716"/>
            <a:ext cx="64008" cy="64008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2" name="Freeform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805940" y="2072129"/>
            <a:ext cx="2012615" cy="1402591"/>
          </a:xfrm>
          <a:custGeom>
            <a:avLst/>
            <a:gdLst>
              <a:gd name="connsiteX0" fmla="*/ 0 w 2012615"/>
              <a:gd name="connsiteY0" fmla="*/ 450091 h 1402591"/>
              <a:gd name="connsiteX1" fmla="*/ 137160 w 2012615"/>
              <a:gd name="connsiteY1" fmla="*/ 328171 h 1402591"/>
              <a:gd name="connsiteX2" fmla="*/ 297180 w 2012615"/>
              <a:gd name="connsiteY2" fmla="*/ 267211 h 1402591"/>
              <a:gd name="connsiteX3" fmla="*/ 434340 w 2012615"/>
              <a:gd name="connsiteY3" fmla="*/ 198631 h 1402591"/>
              <a:gd name="connsiteX4" fmla="*/ 601980 w 2012615"/>
              <a:gd name="connsiteY4" fmla="*/ 145291 h 1402591"/>
              <a:gd name="connsiteX5" fmla="*/ 777240 w 2012615"/>
              <a:gd name="connsiteY5" fmla="*/ 76711 h 1402591"/>
              <a:gd name="connsiteX6" fmla="*/ 952500 w 2012615"/>
              <a:gd name="connsiteY6" fmla="*/ 46231 h 1402591"/>
              <a:gd name="connsiteX7" fmla="*/ 1097280 w 2012615"/>
              <a:gd name="connsiteY7" fmla="*/ 15751 h 1402591"/>
              <a:gd name="connsiteX8" fmla="*/ 1226820 w 2012615"/>
              <a:gd name="connsiteY8" fmla="*/ 8131 h 1402591"/>
              <a:gd name="connsiteX9" fmla="*/ 1447800 w 2012615"/>
              <a:gd name="connsiteY9" fmla="*/ 511 h 1402591"/>
              <a:gd name="connsiteX10" fmla="*/ 1630680 w 2012615"/>
              <a:gd name="connsiteY10" fmla="*/ 23371 h 1402591"/>
              <a:gd name="connsiteX11" fmla="*/ 1722120 w 2012615"/>
              <a:gd name="connsiteY11" fmla="*/ 30991 h 1402591"/>
              <a:gd name="connsiteX12" fmla="*/ 1821180 w 2012615"/>
              <a:gd name="connsiteY12" fmla="*/ 84331 h 1402591"/>
              <a:gd name="connsiteX13" fmla="*/ 1889760 w 2012615"/>
              <a:gd name="connsiteY13" fmla="*/ 130051 h 1402591"/>
              <a:gd name="connsiteX14" fmla="*/ 1981200 w 2012615"/>
              <a:gd name="connsiteY14" fmla="*/ 213871 h 1402591"/>
              <a:gd name="connsiteX15" fmla="*/ 2011680 w 2012615"/>
              <a:gd name="connsiteY15" fmla="*/ 267211 h 1402591"/>
              <a:gd name="connsiteX16" fmla="*/ 2004060 w 2012615"/>
              <a:gd name="connsiteY16" fmla="*/ 351031 h 1402591"/>
              <a:gd name="connsiteX17" fmla="*/ 1996440 w 2012615"/>
              <a:gd name="connsiteY17" fmla="*/ 419611 h 1402591"/>
              <a:gd name="connsiteX18" fmla="*/ 1935480 w 2012615"/>
              <a:gd name="connsiteY18" fmla="*/ 594871 h 1402591"/>
              <a:gd name="connsiteX19" fmla="*/ 1813560 w 2012615"/>
              <a:gd name="connsiteY19" fmla="*/ 732031 h 1402591"/>
              <a:gd name="connsiteX20" fmla="*/ 1722120 w 2012615"/>
              <a:gd name="connsiteY20" fmla="*/ 853951 h 1402591"/>
              <a:gd name="connsiteX21" fmla="*/ 1531620 w 2012615"/>
              <a:gd name="connsiteY21" fmla="*/ 960631 h 1402591"/>
              <a:gd name="connsiteX22" fmla="*/ 1287780 w 2012615"/>
              <a:gd name="connsiteY22" fmla="*/ 1090171 h 1402591"/>
              <a:gd name="connsiteX23" fmla="*/ 998220 w 2012615"/>
              <a:gd name="connsiteY23" fmla="*/ 1250191 h 1402591"/>
              <a:gd name="connsiteX24" fmla="*/ 784860 w 2012615"/>
              <a:gd name="connsiteY24" fmla="*/ 1288291 h 1402591"/>
              <a:gd name="connsiteX25" fmla="*/ 434340 w 2012615"/>
              <a:gd name="connsiteY25" fmla="*/ 1402591 h 14025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2012615" h="1402591">
                <a:moveTo>
                  <a:pt x="0" y="450091"/>
                </a:moveTo>
                <a:cubicBezTo>
                  <a:pt x="43815" y="404371"/>
                  <a:pt x="87630" y="358651"/>
                  <a:pt x="137160" y="328171"/>
                </a:cubicBezTo>
                <a:cubicBezTo>
                  <a:pt x="186690" y="297691"/>
                  <a:pt x="247650" y="288801"/>
                  <a:pt x="297180" y="267211"/>
                </a:cubicBezTo>
                <a:cubicBezTo>
                  <a:pt x="346710" y="245621"/>
                  <a:pt x="383540" y="218951"/>
                  <a:pt x="434340" y="198631"/>
                </a:cubicBezTo>
                <a:cubicBezTo>
                  <a:pt x="485140" y="178311"/>
                  <a:pt x="544830" y="165611"/>
                  <a:pt x="601980" y="145291"/>
                </a:cubicBezTo>
                <a:cubicBezTo>
                  <a:pt x="659130" y="124971"/>
                  <a:pt x="718820" y="93221"/>
                  <a:pt x="777240" y="76711"/>
                </a:cubicBezTo>
                <a:cubicBezTo>
                  <a:pt x="835660" y="60201"/>
                  <a:pt x="899160" y="56391"/>
                  <a:pt x="952500" y="46231"/>
                </a:cubicBezTo>
                <a:cubicBezTo>
                  <a:pt x="1005840" y="36071"/>
                  <a:pt x="1051560" y="22101"/>
                  <a:pt x="1097280" y="15751"/>
                </a:cubicBezTo>
                <a:cubicBezTo>
                  <a:pt x="1143000" y="9401"/>
                  <a:pt x="1226820" y="8131"/>
                  <a:pt x="1226820" y="8131"/>
                </a:cubicBezTo>
                <a:cubicBezTo>
                  <a:pt x="1285240" y="5591"/>
                  <a:pt x="1380490" y="-2029"/>
                  <a:pt x="1447800" y="511"/>
                </a:cubicBezTo>
                <a:cubicBezTo>
                  <a:pt x="1515110" y="3051"/>
                  <a:pt x="1584960" y="18291"/>
                  <a:pt x="1630680" y="23371"/>
                </a:cubicBezTo>
                <a:cubicBezTo>
                  <a:pt x="1676400" y="28451"/>
                  <a:pt x="1690370" y="20831"/>
                  <a:pt x="1722120" y="30991"/>
                </a:cubicBezTo>
                <a:cubicBezTo>
                  <a:pt x="1753870" y="41151"/>
                  <a:pt x="1793240" y="67821"/>
                  <a:pt x="1821180" y="84331"/>
                </a:cubicBezTo>
                <a:cubicBezTo>
                  <a:pt x="1849120" y="100841"/>
                  <a:pt x="1863090" y="108461"/>
                  <a:pt x="1889760" y="130051"/>
                </a:cubicBezTo>
                <a:cubicBezTo>
                  <a:pt x="1916430" y="151641"/>
                  <a:pt x="1960880" y="191011"/>
                  <a:pt x="1981200" y="213871"/>
                </a:cubicBezTo>
                <a:cubicBezTo>
                  <a:pt x="2001520" y="236731"/>
                  <a:pt x="2007870" y="244351"/>
                  <a:pt x="2011680" y="267211"/>
                </a:cubicBezTo>
                <a:cubicBezTo>
                  <a:pt x="2015490" y="290071"/>
                  <a:pt x="2006600" y="325631"/>
                  <a:pt x="2004060" y="351031"/>
                </a:cubicBezTo>
                <a:cubicBezTo>
                  <a:pt x="2001520" y="376431"/>
                  <a:pt x="2007870" y="378971"/>
                  <a:pt x="1996440" y="419611"/>
                </a:cubicBezTo>
                <a:cubicBezTo>
                  <a:pt x="1985010" y="460251"/>
                  <a:pt x="1965960" y="542801"/>
                  <a:pt x="1935480" y="594871"/>
                </a:cubicBezTo>
                <a:cubicBezTo>
                  <a:pt x="1905000" y="646941"/>
                  <a:pt x="1849120" y="688851"/>
                  <a:pt x="1813560" y="732031"/>
                </a:cubicBezTo>
                <a:cubicBezTo>
                  <a:pt x="1778000" y="775211"/>
                  <a:pt x="1769110" y="815851"/>
                  <a:pt x="1722120" y="853951"/>
                </a:cubicBezTo>
                <a:cubicBezTo>
                  <a:pt x="1675130" y="892051"/>
                  <a:pt x="1604010" y="921261"/>
                  <a:pt x="1531620" y="960631"/>
                </a:cubicBezTo>
                <a:cubicBezTo>
                  <a:pt x="1459230" y="1000001"/>
                  <a:pt x="1287780" y="1090171"/>
                  <a:pt x="1287780" y="1090171"/>
                </a:cubicBezTo>
                <a:cubicBezTo>
                  <a:pt x="1198880" y="1138431"/>
                  <a:pt x="1082040" y="1217171"/>
                  <a:pt x="998220" y="1250191"/>
                </a:cubicBezTo>
                <a:cubicBezTo>
                  <a:pt x="914400" y="1283211"/>
                  <a:pt x="878840" y="1262891"/>
                  <a:pt x="784860" y="1288291"/>
                </a:cubicBezTo>
                <a:cubicBezTo>
                  <a:pt x="690880" y="1313691"/>
                  <a:pt x="562610" y="1358141"/>
                  <a:pt x="434340" y="1402591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spect="1"/>
          </xdr:cNvSpPr>
        </xdr:nvSpPr>
        <xdr:spPr>
          <a:xfrm>
            <a:off x="3784092" y="2282952"/>
            <a:ext cx="64008" cy="64008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4" name="TextBox 17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/>
        </xdr:nvSpPr>
        <xdr:spPr>
          <a:xfrm>
            <a:off x="1618234" y="2622299"/>
            <a:ext cx="251992" cy="261610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/>
              <a:t>a</a:t>
            </a:r>
          </a:p>
        </xdr:txBody>
      </xdr:sp>
      <xdr:cxnSp macro="">
        <xdr:nvCxnSpPr>
          <xdr:cNvPr id="75" name="Straight Arrow Connector 74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CxnSpPr/>
        </xdr:nvCxnSpPr>
        <xdr:spPr>
          <a:xfrm>
            <a:off x="1751850" y="2820409"/>
            <a:ext cx="70600" cy="13716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1762010" y="2971800"/>
            <a:ext cx="12599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Straight Connector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CxnSpPr/>
        </xdr:nvCxnSpPr>
        <xdr:spPr>
          <a:xfrm>
            <a:off x="1582154" y="2520950"/>
            <a:ext cx="12599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Straight Arrow Connector 77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CxnSpPr/>
        </xdr:nvCxnSpPr>
        <xdr:spPr>
          <a:xfrm flipH="1" flipV="1">
            <a:off x="1651000" y="2535300"/>
            <a:ext cx="55880" cy="16218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Oval 78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SpPr>
            <a:spLocks noChangeAspect="1"/>
          </xdr:cNvSpPr>
        </xdr:nvSpPr>
        <xdr:spPr>
          <a:xfrm>
            <a:off x="2755783" y="2821857"/>
            <a:ext cx="67208" cy="67208"/>
          </a:xfrm>
          <a:prstGeom prst="ellipse">
            <a:avLst/>
          </a:prstGeom>
          <a:solidFill>
            <a:schemeClr val="bg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80" name="Straight Connector 79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CxnSpPr>
            <a:stCxn id="79" idx="1"/>
            <a:endCxn id="70" idx="5"/>
          </xdr:cNvCxnSpPr>
        </xdr:nvCxnSpPr>
        <xdr:spPr>
          <a:xfrm flipH="1" flipV="1">
            <a:off x="1813330" y="2529610"/>
            <a:ext cx="952295" cy="302089"/>
          </a:xfrm>
          <a:prstGeom prst="line">
            <a:avLst/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CxnSpPr/>
        </xdr:nvCxnSpPr>
        <xdr:spPr>
          <a:xfrm>
            <a:off x="2232660" y="3566160"/>
            <a:ext cx="254924" cy="70104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CxnSpPr/>
        </xdr:nvCxnSpPr>
        <xdr:spPr>
          <a:xfrm>
            <a:off x="3915974" y="3048000"/>
            <a:ext cx="241461" cy="54102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Arrow Connector 82">
            <a:extLst>
              <a:ext uri="{FF2B5EF4-FFF2-40B4-BE49-F238E27FC236}">
                <a16:creationId xmlns:a16="http://schemas.microsoft.com/office/drawing/2014/main" id="{00000000-0008-0000-0300-000053000000}"/>
              </a:ext>
            </a:extLst>
          </xdr:cNvPr>
          <xdr:cNvCxnSpPr>
            <a:stCxn id="84" idx="1"/>
          </xdr:cNvCxnSpPr>
        </xdr:nvCxnSpPr>
        <xdr:spPr>
          <a:xfrm flipH="1">
            <a:off x="2510029" y="3909722"/>
            <a:ext cx="668920" cy="266038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TextBox 48">
            <a:extLst>
              <a:ext uri="{FF2B5EF4-FFF2-40B4-BE49-F238E27FC236}">
                <a16:creationId xmlns:a16="http://schemas.microsoft.com/office/drawing/2014/main" id="{00000000-0008-0000-0300-000054000000}"/>
              </a:ext>
            </a:extLst>
          </xdr:cNvPr>
          <xdr:cNvSpPr txBox="1"/>
        </xdr:nvSpPr>
        <xdr:spPr>
          <a:xfrm rot="20450354">
            <a:off x="3171880" y="3740883"/>
            <a:ext cx="255198" cy="253916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/>
              <a:t>b</a:t>
            </a:r>
          </a:p>
        </xdr:txBody>
      </xdr:sp>
      <xdr:sp macro="" textlink="">
        <xdr:nvSpPr>
          <xdr:cNvPr id="85" name="TextBox 49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SpPr txBox="1"/>
        </xdr:nvSpPr>
        <xdr:spPr>
          <a:xfrm rot="20263256">
            <a:off x="3452149" y="3330000"/>
            <a:ext cx="258404" cy="230833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/>
              <a:t>R</a:t>
            </a:r>
          </a:p>
        </xdr:txBody>
      </xdr:sp>
      <xdr:cxnSp macro="">
        <xdr:nvCxnSpPr>
          <xdr:cNvPr id="86" name="Straight Arrow Connector 85">
            <a:extLst>
              <a:ext uri="{FF2B5EF4-FFF2-40B4-BE49-F238E27FC236}">
                <a16:creationId xmlns:a16="http://schemas.microsoft.com/office/drawing/2014/main" id="{00000000-0008-0000-0300-000056000000}"/>
              </a:ext>
            </a:extLst>
          </xdr:cNvPr>
          <xdr:cNvCxnSpPr/>
        </xdr:nvCxnSpPr>
        <xdr:spPr>
          <a:xfrm flipV="1">
            <a:off x="3447289" y="3526381"/>
            <a:ext cx="644651" cy="254330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00000000-0008-0000-0300-000057000000}"/>
              </a:ext>
            </a:extLst>
          </xdr:cNvPr>
          <xdr:cNvCxnSpPr/>
        </xdr:nvCxnSpPr>
        <xdr:spPr>
          <a:xfrm>
            <a:off x="2834640" y="2941320"/>
            <a:ext cx="335280" cy="7620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Straight Arrow Connector 87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CxnSpPr>
            <a:stCxn id="85" idx="1"/>
          </xdr:cNvCxnSpPr>
        </xdr:nvCxnSpPr>
        <xdr:spPr>
          <a:xfrm flipH="1">
            <a:off x="3161928" y="3494400"/>
            <a:ext cx="299866" cy="124716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Straight Arrow Connector 88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CxnSpPr/>
        </xdr:nvCxnSpPr>
        <xdr:spPr>
          <a:xfrm flipV="1">
            <a:off x="3654933" y="3290825"/>
            <a:ext cx="322326" cy="127165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" name="TextBox 70">
            <a:extLst>
              <a:ext uri="{FF2B5EF4-FFF2-40B4-BE49-F238E27FC236}">
                <a16:creationId xmlns:a16="http://schemas.microsoft.com/office/drawing/2014/main" id="{00000000-0008-0000-0300-00005A000000}"/>
              </a:ext>
            </a:extLst>
          </xdr:cNvPr>
          <xdr:cNvSpPr txBox="1"/>
        </xdr:nvSpPr>
        <xdr:spPr>
          <a:xfrm>
            <a:off x="3848191" y="2442040"/>
            <a:ext cx="255198" cy="253916"/>
          </a:xfrm>
          <a:prstGeom prst="rect">
            <a:avLst/>
          </a:prstGeom>
          <a:noFill/>
          <a:ln>
            <a:noFill/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50"/>
              <a:t>h</a:t>
            </a:r>
          </a:p>
        </xdr:txBody>
      </xdr:sp>
      <xdr:cxnSp macro="">
        <xdr:nvCxnSpPr>
          <xdr:cNvPr id="91" name="Straight Arrow Connector 90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CxnSpPr>
            <a:cxnSpLocks noChangeAspect="1"/>
          </xdr:cNvCxnSpPr>
        </xdr:nvCxnSpPr>
        <xdr:spPr>
          <a:xfrm>
            <a:off x="3970020" y="2652780"/>
            <a:ext cx="0" cy="113509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Straight Connector 91">
            <a:extLst>
              <a:ext uri="{FF2B5EF4-FFF2-40B4-BE49-F238E27FC236}">
                <a16:creationId xmlns:a16="http://schemas.microsoft.com/office/drawing/2014/main" id="{00000000-0008-0000-0300-00005C000000}"/>
              </a:ext>
            </a:extLst>
          </xdr:cNvPr>
          <xdr:cNvCxnSpPr/>
        </xdr:nvCxnSpPr>
        <xdr:spPr>
          <a:xfrm>
            <a:off x="3904984" y="2788920"/>
            <a:ext cx="12599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CxnSpPr/>
        </xdr:nvCxnSpPr>
        <xdr:spPr>
          <a:xfrm>
            <a:off x="3901912" y="2311144"/>
            <a:ext cx="12599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Arrow Connector 93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CxnSpPr>
            <a:cxnSpLocks noChangeAspect="1"/>
          </xdr:cNvCxnSpPr>
        </xdr:nvCxnSpPr>
        <xdr:spPr>
          <a:xfrm flipH="1" flipV="1">
            <a:off x="3962387" y="2328818"/>
            <a:ext cx="5215" cy="159499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Arc 94">
            <a:extLst>
              <a:ext uri="{FF2B5EF4-FFF2-40B4-BE49-F238E27FC236}">
                <a16:creationId xmlns:a16="http://schemas.microsoft.com/office/drawing/2014/main" id="{00000000-0008-0000-0300-00005F000000}"/>
              </a:ext>
            </a:extLst>
          </xdr:cNvPr>
          <xdr:cNvSpPr/>
        </xdr:nvSpPr>
        <xdr:spPr>
          <a:xfrm rot="19910028">
            <a:off x="2360111" y="2735941"/>
            <a:ext cx="701391" cy="585552"/>
          </a:xfrm>
          <a:prstGeom prst="arc">
            <a:avLst>
              <a:gd name="adj1" fmla="val 16200000"/>
              <a:gd name="adj2" fmla="val 21098886"/>
            </a:avLst>
          </a:prstGeom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6" name="TextBox 81">
            <a:extLst>
              <a:ext uri="{FF2B5EF4-FFF2-40B4-BE49-F238E27FC236}">
                <a16:creationId xmlns:a16="http://schemas.microsoft.com/office/drawing/2014/main" id="{00000000-0008-0000-0300-000060000000}"/>
              </a:ext>
            </a:extLst>
          </xdr:cNvPr>
          <xdr:cNvSpPr txBox="1"/>
        </xdr:nvSpPr>
        <xdr:spPr>
          <a:xfrm>
            <a:off x="2667000" y="2568289"/>
            <a:ext cx="25840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700">
                <a:sym typeface="Symbol"/>
              </a:rPr>
              <a:t></a:t>
            </a:r>
            <a:endParaRPr lang="en-US" sz="700"/>
          </a:p>
        </xdr:txBody>
      </xdr:sp>
    </xdr:grpSp>
    <xdr:clientData/>
  </xdr:twoCellAnchor>
  <xdr:twoCellAnchor>
    <xdr:from>
      <xdr:col>4</xdr:col>
      <xdr:colOff>420224</xdr:colOff>
      <xdr:row>5</xdr:row>
      <xdr:rowOff>105858</xdr:rowOff>
    </xdr:from>
    <xdr:to>
      <xdr:col>9</xdr:col>
      <xdr:colOff>725023</xdr:colOff>
      <xdr:row>8</xdr:row>
      <xdr:rowOff>180689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GrpSpPr/>
      </xdr:nvGrpSpPr>
      <xdr:grpSpPr>
        <a:xfrm>
          <a:off x="2859961" y="1024937"/>
          <a:ext cx="3354470" cy="626278"/>
          <a:chOff x="4343400" y="2708140"/>
          <a:chExt cx="3352800" cy="646331"/>
        </a:xfrm>
      </xdr:grpSpPr>
      <xdr:sp macro="" textlink="">
        <xdr:nvSpPr>
          <xdr:cNvPr id="98" name="TextBox 83">
            <a:extLst>
              <a:ext uri="{FF2B5EF4-FFF2-40B4-BE49-F238E27FC236}">
                <a16:creationId xmlns:a16="http://schemas.microsoft.com/office/drawing/2014/main" id="{00000000-0008-0000-0300-000062000000}"/>
              </a:ext>
            </a:extLst>
          </xdr:cNvPr>
          <xdr:cNvSpPr txBox="1"/>
        </xdr:nvSpPr>
        <xdr:spPr>
          <a:xfrm>
            <a:off x="4343400" y="2820409"/>
            <a:ext cx="536360" cy="3741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V =</a:t>
            </a:r>
          </a:p>
        </xdr:txBody>
      </xdr:sp>
      <xdr:sp macro="" textlink="">
        <xdr:nvSpPr>
          <xdr:cNvPr id="99" name="TextBox 85">
            <a:extLst>
              <a:ext uri="{FF2B5EF4-FFF2-40B4-BE49-F238E27FC236}">
                <a16:creationId xmlns:a16="http://schemas.microsoft.com/office/drawing/2014/main" id="{00000000-0008-0000-0300-000063000000}"/>
              </a:ext>
            </a:extLst>
          </xdr:cNvPr>
          <xdr:cNvSpPr txBox="1"/>
        </xdr:nvSpPr>
        <xdr:spPr>
          <a:xfrm>
            <a:off x="4671060" y="2708140"/>
            <a:ext cx="423513" cy="6463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u="sng"/>
              <a:t> h </a:t>
            </a:r>
          </a:p>
          <a:p>
            <a:pPr algn="ctr"/>
            <a:r>
              <a:rPr lang="en-US"/>
              <a:t>3b</a:t>
            </a:r>
          </a:p>
        </xdr:txBody>
      </xdr:sp>
      <xdr:sp macro="" textlink="">
        <xdr:nvSpPr>
          <xdr:cNvPr id="100" name="TextBox 86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SpPr txBox="1"/>
        </xdr:nvSpPr>
        <xdr:spPr>
          <a:xfrm>
            <a:off x="4953000" y="2819400"/>
            <a:ext cx="2743200" cy="38638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/>
              <a:t>[a(3R² - a²) + 3R² (b - R) </a:t>
            </a:r>
            <a:r>
              <a:rPr lang="en-US">
                <a:sym typeface="Symbol"/>
              </a:rPr>
              <a:t>]</a:t>
            </a:r>
            <a:endParaRPr lang="en-US"/>
          </a:p>
        </xdr:txBody>
      </xdr:sp>
    </xdr:grpSp>
    <xdr:clientData/>
  </xdr:twoCellAnchor>
  <xdr:twoCellAnchor>
    <xdr:from>
      <xdr:col>4</xdr:col>
      <xdr:colOff>385081</xdr:colOff>
      <xdr:row>8</xdr:row>
      <xdr:rowOff>134711</xdr:rowOff>
    </xdr:from>
    <xdr:to>
      <xdr:col>7</xdr:col>
      <xdr:colOff>325851</xdr:colOff>
      <xdr:row>12</xdr:row>
      <xdr:rowOff>55397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GrpSpPr/>
      </xdr:nvGrpSpPr>
      <xdr:grpSpPr>
        <a:xfrm>
          <a:off x="2824818" y="1605237"/>
          <a:ext cx="1770572" cy="655949"/>
          <a:chOff x="11783786" y="1417864"/>
          <a:chExt cx="1769492" cy="683822"/>
        </a:xfrm>
      </xdr:grpSpPr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11783786" y="1564821"/>
            <a:ext cx="58156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/>
              <a:t> R = </a:t>
            </a:r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 txBox="1"/>
        </xdr:nvSpPr>
        <xdr:spPr>
          <a:xfrm>
            <a:off x="12235542" y="1417864"/>
            <a:ext cx="1317736" cy="68382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800" u="sng"/>
              <a:t>(a^2 +b^2)</a:t>
            </a:r>
          </a:p>
          <a:p>
            <a:pPr algn="ctr"/>
            <a:r>
              <a:rPr lang="en-US" sz="1800" u="none"/>
              <a:t>2b</a:t>
            </a:r>
          </a:p>
        </xdr:txBody>
      </xdr:sp>
    </xdr:grpSp>
    <xdr:clientData/>
  </xdr:twoCellAnchor>
  <xdr:twoCellAnchor>
    <xdr:from>
      <xdr:col>5</xdr:col>
      <xdr:colOff>249250</xdr:colOff>
      <xdr:row>11</xdr:row>
      <xdr:rowOff>173002</xdr:rowOff>
    </xdr:from>
    <xdr:to>
      <xdr:col>9</xdr:col>
      <xdr:colOff>238091</xdr:colOff>
      <xdr:row>16</xdr:row>
      <xdr:rowOff>75197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GrpSpPr/>
      </xdr:nvGrpSpPr>
      <xdr:grpSpPr>
        <a:xfrm>
          <a:off x="3298921" y="2194976"/>
          <a:ext cx="2428578" cy="821274"/>
          <a:chOff x="15689036" y="3230336"/>
          <a:chExt cx="2427242" cy="789224"/>
        </a:xfrm>
      </xdr:grpSpPr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 txBox="1"/>
        </xdr:nvSpPr>
        <xdr:spPr>
          <a:xfrm>
            <a:off x="16233322" y="3333750"/>
            <a:ext cx="301686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u="sng"/>
              <a:t>1</a:t>
            </a:r>
          </a:p>
          <a:p>
            <a:r>
              <a:rPr lang="en-US" sz="1800" u="none"/>
              <a:t>2</a:t>
            </a:r>
          </a:p>
        </xdr:txBody>
      </xdr:sp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 txBox="1"/>
        </xdr:nvSpPr>
        <xdr:spPr>
          <a:xfrm>
            <a:off x="16412936" y="3458936"/>
            <a:ext cx="101803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l-GR" sz="1800"/>
              <a:t>π</a:t>
            </a:r>
            <a:r>
              <a:rPr lang="en-US" sz="1800"/>
              <a:t> + tan</a:t>
            </a:r>
            <a:r>
              <a:rPr lang="en-US" sz="1800" baseline="30000"/>
              <a:t>-1</a:t>
            </a:r>
            <a:r>
              <a:rPr lang="en-US" sz="1800"/>
              <a:t> </a:t>
            </a:r>
            <a:endParaRPr lang="en-US" sz="1800" u="none"/>
          </a:p>
        </xdr:txBody>
      </xdr:sp>
      <xdr:sp macro="" textlink="">
        <xdr:nvSpPr>
          <xdr:cNvPr id="107" name="TextBox 106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SpPr txBox="1"/>
        </xdr:nvSpPr>
        <xdr:spPr>
          <a:xfrm>
            <a:off x="17351818" y="3322864"/>
            <a:ext cx="606320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800" u="sng"/>
              <a:t>b - R</a:t>
            </a:r>
          </a:p>
          <a:p>
            <a:pPr algn="ctr"/>
            <a:r>
              <a:rPr lang="en-US" sz="1800" u="none"/>
              <a:t>a</a:t>
            </a:r>
          </a:p>
        </xdr:txBody>
      </xdr:sp>
      <xdr:sp macro="" textlink="">
        <xdr:nvSpPr>
          <xdr:cNvPr id="108" name="TextBox 107">
            <a:extLst>
              <a:ext uri="{FF2B5EF4-FFF2-40B4-BE49-F238E27FC236}">
                <a16:creationId xmlns:a16="http://schemas.microsoft.com/office/drawing/2014/main" id="{00000000-0008-0000-0300-00006C000000}"/>
              </a:ext>
            </a:extLst>
          </xdr:cNvPr>
          <xdr:cNvSpPr txBox="1"/>
        </xdr:nvSpPr>
        <xdr:spPr>
          <a:xfrm>
            <a:off x="17201840" y="3230336"/>
            <a:ext cx="340221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4000" u="none"/>
              <a:t>(</a:t>
            </a:r>
          </a:p>
        </xdr:txBody>
      </xdr:sp>
      <xdr:sp macro="" textlink="">
        <xdr:nvSpPr>
          <xdr:cNvPr id="109" name="TextBox 108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SpPr txBox="1"/>
        </xdr:nvSpPr>
        <xdr:spPr>
          <a:xfrm rot="10800000">
            <a:off x="17776057" y="3301094"/>
            <a:ext cx="340221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4000" u="none"/>
              <a:t>(</a:t>
            </a:r>
          </a:p>
        </xdr:txBody>
      </xdr:sp>
      <xdr:sp macro="" textlink="">
        <xdr:nvSpPr>
          <xdr:cNvPr id="110" name="TextBox 109">
            <a:extLst>
              <a:ext uri="{FF2B5EF4-FFF2-40B4-BE49-F238E27FC236}">
                <a16:creationId xmlns:a16="http://schemas.microsoft.com/office/drawing/2014/main" id="{00000000-0008-0000-0300-00006E000000}"/>
              </a:ext>
            </a:extLst>
          </xdr:cNvPr>
          <xdr:cNvSpPr txBox="1"/>
        </xdr:nvSpPr>
        <xdr:spPr>
          <a:xfrm>
            <a:off x="15689036" y="3442607"/>
            <a:ext cx="581569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/>
              <a:t> </a:t>
            </a:r>
            <a:r>
              <a:rPr lang="en-US" sz="1800">
                <a:sym typeface="Symbol"/>
              </a:rPr>
              <a:t></a:t>
            </a:r>
            <a:r>
              <a:rPr lang="en-US" sz="1800"/>
              <a:t> = 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161925</xdr:rowOff>
    </xdr:from>
    <xdr:to>
      <xdr:col>4</xdr:col>
      <xdr:colOff>406400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66DA5-3CDD-427D-8938-DA3072152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3476625"/>
          <a:ext cx="33432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219076</xdr:colOff>
      <xdr:row>6</xdr:row>
      <xdr:rowOff>83058</xdr:rowOff>
    </xdr:from>
    <xdr:to>
      <xdr:col>12</xdr:col>
      <xdr:colOff>304801</xdr:colOff>
      <xdr:row>14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313833-D97C-4563-848B-D79FB3909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1" y="1273683"/>
          <a:ext cx="1600200" cy="1536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2152650</xdr:colOff>
      <xdr:row>1</xdr:row>
      <xdr:rowOff>157162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1287125" y="347662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200" i="1">
                      <a:latin typeface="Cambria Math"/>
                      <a:ea typeface="Cambria Math"/>
                    </a:rPr>
                    <m:t>𝜋</m:t>
                  </m:r>
                  <m:r>
                    <a:rPr lang="en-US" sz="1200" b="0" i="1">
                      <a:latin typeface="Cambria Math"/>
                      <a:ea typeface="Cambria Math"/>
                    </a:rPr>
                    <m:t>𝑟</m:t>
                  </m:r>
                </m:oMath>
              </a14:m>
              <a:r>
                <a:rPr lang="en-US" sz="1200" baseline="30000"/>
                <a:t>2</a:t>
              </a:r>
              <a:r>
                <a:rPr lang="en-US" sz="1200"/>
                <a:t>h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287125" y="347662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200" i="0">
                  <a:latin typeface="Cambria Math"/>
                  <a:ea typeface="Cambria Math"/>
                </a:rPr>
                <a:t>𝜋</a:t>
              </a:r>
              <a:r>
                <a:rPr lang="en-US" sz="1200" b="0" i="0">
                  <a:latin typeface="Cambria Math"/>
                  <a:ea typeface="Cambria Math"/>
                </a:rPr>
                <a:t>𝑟</a:t>
              </a:r>
              <a:r>
                <a:rPr lang="en-US" sz="1200" baseline="30000"/>
                <a:t>2</a:t>
              </a:r>
              <a:r>
                <a:rPr lang="en-US" sz="1200"/>
                <a:t>h</a:t>
              </a:r>
            </a:p>
          </xdr:txBody>
        </xdr:sp>
      </mc:Fallback>
    </mc:AlternateContent>
    <xdr:clientData/>
  </xdr:oneCellAnchor>
  <xdr:twoCellAnchor>
    <xdr:from>
      <xdr:col>0</xdr:col>
      <xdr:colOff>119782</xdr:colOff>
      <xdr:row>27</xdr:row>
      <xdr:rowOff>14366</xdr:rowOff>
    </xdr:from>
    <xdr:to>
      <xdr:col>5</xdr:col>
      <xdr:colOff>318126</xdr:colOff>
      <xdr:row>41</xdr:row>
      <xdr:rowOff>45742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224118</xdr:colOff>
      <xdr:row>0</xdr:row>
      <xdr:rowOff>11207</xdr:rowOff>
    </xdr:from>
    <xdr:to>
      <xdr:col>10</xdr:col>
      <xdr:colOff>889637</xdr:colOff>
      <xdr:row>9</xdr:row>
      <xdr:rowOff>49307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pSpPr/>
      </xdr:nvGrpSpPr>
      <xdr:grpSpPr>
        <a:xfrm>
          <a:off x="10824883" y="11207"/>
          <a:ext cx="1532107" cy="1718982"/>
          <a:chOff x="9696449" y="159124"/>
          <a:chExt cx="1494754" cy="1752600"/>
        </a:xfrm>
      </xdr:grpSpPr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GrpSpPr/>
        </xdr:nvGrpSpPr>
        <xdr:grpSpPr>
          <a:xfrm>
            <a:off x="9696449" y="159124"/>
            <a:ext cx="1494754" cy="1752600"/>
            <a:chOff x="12077700" y="123825"/>
            <a:chExt cx="1499235" cy="1752600"/>
          </a:xfrm>
        </xdr:grpSpPr>
        <xdr:pic>
          <xdr:nvPicPr>
            <xdr:cNvPr id="55" name="Pictur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77700" y="123825"/>
              <a:ext cx="1499235" cy="1752600"/>
            </a:xfrm>
            <a:prstGeom prst="rect">
              <a:avLst/>
            </a:prstGeom>
            <a:noFill/>
            <a:ln>
              <a:solidFill>
                <a:schemeClr val="accent1">
                  <a:lumMod val="50000"/>
                </a:schemeClr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6" name="Oval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/>
          </xdr:nvSpPr>
          <xdr:spPr>
            <a:xfrm>
              <a:off x="12134850" y="200025"/>
              <a:ext cx="1352550" cy="476250"/>
            </a:xfrm>
            <a:prstGeom prst="ellipse">
              <a:avLst/>
            </a:prstGeom>
            <a:solidFill>
              <a:sysClr val="window" lastClr="FFFFFF"/>
            </a:solidFill>
            <a:ln w="12700">
              <a:prstDash val="lg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7" name="Freeform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SpPr/>
          </xdr:nvSpPr>
          <xdr:spPr>
            <a:xfrm rot="17481987" flipV="1">
              <a:off x="12815855" y="874397"/>
              <a:ext cx="962543" cy="170805"/>
            </a:xfrm>
            <a:custGeom>
              <a:avLst/>
              <a:gdLst>
                <a:gd name="connsiteX0" fmla="*/ 0 w 1114425"/>
                <a:gd name="connsiteY0" fmla="*/ 200719 h 200719"/>
                <a:gd name="connsiteX1" fmla="*/ 123825 w 1114425"/>
                <a:gd name="connsiteY1" fmla="*/ 105469 h 200719"/>
                <a:gd name="connsiteX2" fmla="*/ 352425 w 1114425"/>
                <a:gd name="connsiteY2" fmla="*/ 38794 h 200719"/>
                <a:gd name="connsiteX3" fmla="*/ 657225 w 1114425"/>
                <a:gd name="connsiteY3" fmla="*/ 694 h 200719"/>
                <a:gd name="connsiteX4" fmla="*/ 876300 w 1114425"/>
                <a:gd name="connsiteY4" fmla="*/ 19744 h 200719"/>
                <a:gd name="connsiteX5" fmla="*/ 1114425 w 1114425"/>
                <a:gd name="connsiteY5" fmla="*/ 86419 h 2007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114425" h="200719">
                  <a:moveTo>
                    <a:pt x="0" y="200719"/>
                  </a:moveTo>
                  <a:cubicBezTo>
                    <a:pt x="32544" y="166587"/>
                    <a:pt x="65088" y="132456"/>
                    <a:pt x="123825" y="105469"/>
                  </a:cubicBezTo>
                  <a:cubicBezTo>
                    <a:pt x="182562" y="78482"/>
                    <a:pt x="263525" y="56256"/>
                    <a:pt x="352425" y="38794"/>
                  </a:cubicBezTo>
                  <a:cubicBezTo>
                    <a:pt x="441325" y="21332"/>
                    <a:pt x="569913" y="3869"/>
                    <a:pt x="657225" y="694"/>
                  </a:cubicBezTo>
                  <a:cubicBezTo>
                    <a:pt x="744537" y="-2481"/>
                    <a:pt x="800100" y="5456"/>
                    <a:pt x="876300" y="19744"/>
                  </a:cubicBezTo>
                  <a:cubicBezTo>
                    <a:pt x="952500" y="34031"/>
                    <a:pt x="1033462" y="60225"/>
                    <a:pt x="1114425" y="86419"/>
                  </a:cubicBezTo>
                </a:path>
              </a:pathLst>
            </a:custGeom>
            <a:noFill/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8" name="Freeform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SpPr/>
          </xdr:nvSpPr>
          <xdr:spPr>
            <a:xfrm>
              <a:off x="12171077" y="647700"/>
              <a:ext cx="1306798" cy="1181100"/>
            </a:xfrm>
            <a:custGeom>
              <a:avLst/>
              <a:gdLst>
                <a:gd name="connsiteX0" fmla="*/ 305 w 1352855"/>
                <a:gd name="connsiteY0" fmla="*/ 1095375 h 1343385"/>
                <a:gd name="connsiteX1" fmla="*/ 19355 w 1352855"/>
                <a:gd name="connsiteY1" fmla="*/ 1162050 h 1343385"/>
                <a:gd name="connsiteX2" fmla="*/ 124130 w 1352855"/>
                <a:gd name="connsiteY2" fmla="*/ 1238250 h 1343385"/>
                <a:gd name="connsiteX3" fmla="*/ 371780 w 1352855"/>
                <a:gd name="connsiteY3" fmla="*/ 1323975 h 1343385"/>
                <a:gd name="connsiteX4" fmla="*/ 552755 w 1352855"/>
                <a:gd name="connsiteY4" fmla="*/ 1343025 h 1343385"/>
                <a:gd name="connsiteX5" fmla="*/ 686105 w 1352855"/>
                <a:gd name="connsiteY5" fmla="*/ 1314450 h 1343385"/>
                <a:gd name="connsiteX6" fmla="*/ 809930 w 1352855"/>
                <a:gd name="connsiteY6" fmla="*/ 1266825 h 1343385"/>
                <a:gd name="connsiteX7" fmla="*/ 1076630 w 1352855"/>
                <a:gd name="connsiteY7" fmla="*/ 962025 h 1343385"/>
                <a:gd name="connsiteX8" fmla="*/ 1229030 w 1352855"/>
                <a:gd name="connsiteY8" fmla="*/ 590550 h 1343385"/>
                <a:gd name="connsiteX9" fmla="*/ 1352855 w 1352855"/>
                <a:gd name="connsiteY9" fmla="*/ 0 h 134338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1352855" h="1343385">
                  <a:moveTo>
                    <a:pt x="305" y="1095375"/>
                  </a:moveTo>
                  <a:cubicBezTo>
                    <a:pt x="-489" y="1116806"/>
                    <a:pt x="-1282" y="1138238"/>
                    <a:pt x="19355" y="1162050"/>
                  </a:cubicBezTo>
                  <a:cubicBezTo>
                    <a:pt x="39992" y="1185862"/>
                    <a:pt x="65393" y="1211263"/>
                    <a:pt x="124130" y="1238250"/>
                  </a:cubicBezTo>
                  <a:cubicBezTo>
                    <a:pt x="182867" y="1265237"/>
                    <a:pt x="300343" y="1306513"/>
                    <a:pt x="371780" y="1323975"/>
                  </a:cubicBezTo>
                  <a:cubicBezTo>
                    <a:pt x="443217" y="1341437"/>
                    <a:pt x="500368" y="1344612"/>
                    <a:pt x="552755" y="1343025"/>
                  </a:cubicBezTo>
                  <a:cubicBezTo>
                    <a:pt x="605142" y="1341438"/>
                    <a:pt x="643243" y="1327150"/>
                    <a:pt x="686105" y="1314450"/>
                  </a:cubicBezTo>
                  <a:cubicBezTo>
                    <a:pt x="728968" y="1301750"/>
                    <a:pt x="744843" y="1325562"/>
                    <a:pt x="809930" y="1266825"/>
                  </a:cubicBezTo>
                  <a:cubicBezTo>
                    <a:pt x="875017" y="1208088"/>
                    <a:pt x="1006780" y="1074737"/>
                    <a:pt x="1076630" y="962025"/>
                  </a:cubicBezTo>
                  <a:cubicBezTo>
                    <a:pt x="1146480" y="849313"/>
                    <a:pt x="1182993" y="750887"/>
                    <a:pt x="1229030" y="590550"/>
                  </a:cubicBezTo>
                  <a:cubicBezTo>
                    <a:pt x="1275068" y="430212"/>
                    <a:pt x="1313961" y="215106"/>
                    <a:pt x="1352855" y="0"/>
                  </a:cubicBezTo>
                </a:path>
              </a:pathLst>
            </a:custGeom>
            <a:noFill/>
            <a:ln w="12700">
              <a:solidFill>
                <a:schemeClr val="accent1">
                  <a:lumMod val="50000"/>
                </a:schemeClr>
              </a:solidFill>
              <a:prstDash val="lg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9" name="Freeform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SpPr/>
          </xdr:nvSpPr>
          <xdr:spPr>
            <a:xfrm rot="9960000" flipV="1">
              <a:off x="12142418" y="1372883"/>
              <a:ext cx="878436" cy="121376"/>
            </a:xfrm>
            <a:custGeom>
              <a:avLst/>
              <a:gdLst>
                <a:gd name="connsiteX0" fmla="*/ 0 w 1114425"/>
                <a:gd name="connsiteY0" fmla="*/ 200719 h 200719"/>
                <a:gd name="connsiteX1" fmla="*/ 123825 w 1114425"/>
                <a:gd name="connsiteY1" fmla="*/ 105469 h 200719"/>
                <a:gd name="connsiteX2" fmla="*/ 352425 w 1114425"/>
                <a:gd name="connsiteY2" fmla="*/ 38794 h 200719"/>
                <a:gd name="connsiteX3" fmla="*/ 657225 w 1114425"/>
                <a:gd name="connsiteY3" fmla="*/ 694 h 200719"/>
                <a:gd name="connsiteX4" fmla="*/ 876300 w 1114425"/>
                <a:gd name="connsiteY4" fmla="*/ 19744 h 200719"/>
                <a:gd name="connsiteX5" fmla="*/ 1114425 w 1114425"/>
                <a:gd name="connsiteY5" fmla="*/ 86419 h 20071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</a:cxnLst>
              <a:rect l="l" t="t" r="r" b="b"/>
              <a:pathLst>
                <a:path w="1114425" h="200719">
                  <a:moveTo>
                    <a:pt x="0" y="200719"/>
                  </a:moveTo>
                  <a:cubicBezTo>
                    <a:pt x="32544" y="166587"/>
                    <a:pt x="65088" y="132456"/>
                    <a:pt x="123825" y="105469"/>
                  </a:cubicBezTo>
                  <a:cubicBezTo>
                    <a:pt x="182562" y="78482"/>
                    <a:pt x="263525" y="56256"/>
                    <a:pt x="352425" y="38794"/>
                  </a:cubicBezTo>
                  <a:cubicBezTo>
                    <a:pt x="441325" y="21332"/>
                    <a:pt x="569913" y="3869"/>
                    <a:pt x="657225" y="694"/>
                  </a:cubicBezTo>
                  <a:cubicBezTo>
                    <a:pt x="744537" y="-2481"/>
                    <a:pt x="800100" y="5456"/>
                    <a:pt x="876300" y="19744"/>
                  </a:cubicBezTo>
                  <a:cubicBezTo>
                    <a:pt x="952500" y="34031"/>
                    <a:pt x="1033462" y="60225"/>
                    <a:pt x="1114425" y="86419"/>
                  </a:cubicBezTo>
                </a:path>
              </a:pathLst>
            </a:custGeom>
            <a:noFill/>
            <a:ln w="12700"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CxnSpPr/>
        </xdr:nvCxnSpPr>
        <xdr:spPr>
          <a:xfrm>
            <a:off x="9762953" y="473449"/>
            <a:ext cx="9697" cy="1183901"/>
          </a:xfrm>
          <a:prstGeom prst="line">
            <a:avLst/>
          </a:prstGeom>
          <a:ln w="12700">
            <a:solidFill>
              <a:schemeClr val="accent1">
                <a:lumMod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28574</xdr:rowOff>
    </xdr:from>
    <xdr:to>
      <xdr:col>6</xdr:col>
      <xdr:colOff>29676</xdr:colOff>
      <xdr:row>66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674"/>
          <a:ext cx="6036776" cy="490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114300</xdr:rowOff>
    </xdr:from>
    <xdr:to>
      <xdr:col>6</xdr:col>
      <xdr:colOff>342900</xdr:colOff>
      <xdr:row>37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2900"/>
          <a:ext cx="635317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</xdr:colOff>
      <xdr:row>16</xdr:row>
      <xdr:rowOff>161925</xdr:rowOff>
    </xdr:from>
    <xdr:to>
      <xdr:col>14</xdr:col>
      <xdr:colOff>38100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28CF57-57D1-4906-8122-55A1FCF27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4925" y="3438525"/>
          <a:ext cx="33432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thworld.wolfram.com/CylindricalWedg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mathworld.wolfram.com/IsoscelesTrapezoid.html" TargetMode="External"/><Relationship Id="rId1" Type="http://schemas.openxmlformats.org/officeDocument/2006/relationships/hyperlink" Target="http://keisan.casio.com/exec/system/1322717681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"/>
  <sheetViews>
    <sheetView topLeftCell="A53" zoomScale="70" zoomScaleNormal="70" workbookViewId="0">
      <selection sqref="A1:L1"/>
    </sheetView>
  </sheetViews>
  <sheetFormatPr defaultRowHeight="14.5" x14ac:dyDescent="0.35"/>
  <cols>
    <col min="1" max="1" width="16.1796875" customWidth="1"/>
    <col min="2" max="2" width="9.26953125" customWidth="1"/>
    <col min="3" max="3" width="8.26953125" customWidth="1"/>
    <col min="4" max="5" width="10.1796875" customWidth="1"/>
    <col min="6" max="6" width="6.453125" customWidth="1"/>
    <col min="7" max="7" width="7.26953125" customWidth="1"/>
    <col min="8" max="9" width="5.453125" customWidth="1"/>
    <col min="10" max="10" width="11" customWidth="1"/>
    <col min="11" max="11" width="9.7265625" customWidth="1"/>
    <col min="12" max="12" width="11.7265625" customWidth="1"/>
    <col min="13" max="13" width="12.1796875" customWidth="1"/>
    <col min="14" max="14" width="19.1796875" customWidth="1"/>
    <col min="15" max="15" width="14.7265625" bestFit="1" customWidth="1"/>
    <col min="16" max="18" width="6.81640625" customWidth="1"/>
    <col min="19" max="19" width="5.26953125" customWidth="1"/>
    <col min="20" max="24" width="6.81640625" customWidth="1"/>
    <col min="25" max="25" width="4.81640625" customWidth="1"/>
    <col min="26" max="26" width="12.1796875" customWidth="1"/>
    <col min="28" max="28" width="14.1796875" customWidth="1"/>
  </cols>
  <sheetData>
    <row r="1" spans="1:14" ht="18.5" x14ac:dyDescent="0.45">
      <c r="A1" s="114" t="s">
        <v>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4" ht="18.5" x14ac:dyDescent="0.45">
      <c r="A2" s="6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18" t="s">
        <v>8</v>
      </c>
    </row>
    <row r="3" spans="1:14" ht="18.5" x14ac:dyDescent="0.45">
      <c r="A3" s="7" t="s">
        <v>4</v>
      </c>
      <c r="B3" s="5"/>
      <c r="C3" s="5"/>
      <c r="D3" s="5"/>
      <c r="E3" s="5"/>
      <c r="F3" s="5"/>
      <c r="G3" s="5"/>
      <c r="H3" s="5"/>
      <c r="I3" s="5"/>
      <c r="L3" s="17" t="s">
        <v>7</v>
      </c>
      <c r="M3" s="17" t="s">
        <v>6</v>
      </c>
      <c r="N3" s="17"/>
    </row>
    <row r="4" spans="1:14" ht="18.5" x14ac:dyDescent="0.45">
      <c r="A4" s="6" t="s">
        <v>19</v>
      </c>
      <c r="B4" s="5"/>
      <c r="C4" s="5"/>
      <c r="D4" s="5"/>
      <c r="E4" s="5"/>
      <c r="F4" s="5"/>
      <c r="G4" s="5"/>
      <c r="H4" s="5"/>
      <c r="I4" s="5"/>
      <c r="L4" s="16">
        <v>1</v>
      </c>
      <c r="M4" s="16">
        <f>CONVERT(L4,"ft","m")</f>
        <v>0.30480000000000002</v>
      </c>
      <c r="N4" s="16"/>
    </row>
    <row r="5" spans="1:14" ht="9" customHeight="1" x14ac:dyDescent="0.35"/>
    <row r="6" spans="1:14" ht="9" customHeight="1" x14ac:dyDescent="0.35"/>
    <row r="7" spans="1:14" ht="9" customHeight="1" x14ac:dyDescent="0.35"/>
    <row r="8" spans="1:14" ht="9" customHeight="1" x14ac:dyDescent="0.35"/>
    <row r="9" spans="1:14" ht="9" customHeight="1" x14ac:dyDescent="0.35"/>
    <row r="10" spans="1:14" ht="9" customHeight="1" x14ac:dyDescent="0.35"/>
    <row r="11" spans="1:14" ht="9" customHeight="1" x14ac:dyDescent="0.35"/>
    <row r="12" spans="1:14" ht="9" customHeight="1" x14ac:dyDescent="0.35"/>
    <row r="13" spans="1:14" ht="9" customHeight="1" x14ac:dyDescent="0.35"/>
    <row r="14" spans="1:14" ht="9" customHeight="1" x14ac:dyDescent="0.35"/>
    <row r="15" spans="1:14" ht="9" customHeight="1" x14ac:dyDescent="0.35"/>
    <row r="16" spans="1:14" ht="9" customHeight="1" x14ac:dyDescent="0.35"/>
    <row r="17" spans="1:27" ht="0.75" customHeight="1" x14ac:dyDescent="0.35"/>
    <row r="18" spans="1:27" ht="16.5" customHeight="1" x14ac:dyDescent="0.35"/>
    <row r="19" spans="1:27" ht="9" customHeight="1" x14ac:dyDescent="0.35"/>
    <row r="20" spans="1:27" ht="9" customHeight="1" x14ac:dyDescent="0.35"/>
    <row r="21" spans="1:27" x14ac:dyDescent="0.35">
      <c r="A21" s="23" t="s">
        <v>13</v>
      </c>
    </row>
    <row r="22" spans="1:27" ht="9" customHeight="1" x14ac:dyDescent="0.35"/>
    <row r="23" spans="1:27" ht="19.5" customHeight="1" x14ac:dyDescent="0.45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O23" t="s">
        <v>5</v>
      </c>
    </row>
    <row r="24" spans="1:27" s="1" customFormat="1" ht="44.5" x14ac:dyDescent="0.45">
      <c r="A24" s="8" t="s">
        <v>1</v>
      </c>
      <c r="B24" s="118" t="s">
        <v>9</v>
      </c>
      <c r="C24" s="119"/>
      <c r="D24" s="120" t="s">
        <v>10</v>
      </c>
      <c r="E24" s="120"/>
      <c r="F24" s="120" t="s">
        <v>11</v>
      </c>
      <c r="G24" s="120"/>
      <c r="H24" s="121" t="s">
        <v>12</v>
      </c>
      <c r="I24" s="122"/>
      <c r="J24" s="14" t="s">
        <v>18</v>
      </c>
      <c r="K24" s="14" t="s">
        <v>17</v>
      </c>
      <c r="O24" s="20" t="s">
        <v>1</v>
      </c>
      <c r="P24" s="118" t="s">
        <v>9</v>
      </c>
      <c r="Q24" s="119"/>
      <c r="R24" s="120" t="s">
        <v>10</v>
      </c>
      <c r="S24" s="120"/>
      <c r="T24" s="120" t="s">
        <v>14</v>
      </c>
      <c r="U24" s="120"/>
      <c r="V24" s="124" t="s">
        <v>0</v>
      </c>
      <c r="W24" s="124"/>
      <c r="X24" s="121" t="s">
        <v>12</v>
      </c>
      <c r="Y24" s="122"/>
      <c r="Z24" s="14" t="s">
        <v>18</v>
      </c>
      <c r="AA24" s="14" t="s">
        <v>17</v>
      </c>
    </row>
    <row r="25" spans="1:27" x14ac:dyDescent="0.35">
      <c r="A25" s="9">
        <v>5.3</v>
      </c>
      <c r="B25" s="115">
        <f t="shared" ref="B25:B26" si="0">A25/2</f>
        <v>2.65</v>
      </c>
      <c r="C25" s="115"/>
      <c r="D25" s="115">
        <v>27.18</v>
      </c>
      <c r="E25" s="115"/>
      <c r="F25" s="115">
        <v>13.6</v>
      </c>
      <c r="G25" s="115"/>
      <c r="H25" s="116">
        <v>1</v>
      </c>
      <c r="I25" s="116"/>
      <c r="J25" s="15">
        <f>(0.5*H25)*D25*A25</f>
        <v>72.027000000000001</v>
      </c>
      <c r="K25" s="15"/>
      <c r="O25" s="10">
        <v>5.3</v>
      </c>
      <c r="P25" s="115">
        <f t="shared" ref="P25:P26" si="1">O25/2</f>
        <v>2.65</v>
      </c>
      <c r="Q25" s="115"/>
      <c r="R25" s="115">
        <v>27.18</v>
      </c>
      <c r="S25" s="115"/>
      <c r="T25" s="115">
        <v>13.6</v>
      </c>
      <c r="U25" s="115"/>
      <c r="V25" s="123">
        <v>169</v>
      </c>
      <c r="W25" s="123"/>
      <c r="X25" s="115">
        <v>1</v>
      </c>
      <c r="Y25" s="115"/>
      <c r="Z25" s="15">
        <f>(0.5*X25)*R25*O25</f>
        <v>72.027000000000001</v>
      </c>
      <c r="AA25" s="15"/>
    </row>
    <row r="26" spans="1:27" x14ac:dyDescent="0.35">
      <c r="A26" s="9">
        <v>10</v>
      </c>
      <c r="B26" s="115">
        <f t="shared" si="0"/>
        <v>5</v>
      </c>
      <c r="C26" s="115"/>
      <c r="D26" s="115">
        <v>25.53</v>
      </c>
      <c r="E26" s="115"/>
      <c r="F26" s="115">
        <v>12.765000000000001</v>
      </c>
      <c r="G26" s="115"/>
      <c r="H26" s="116">
        <v>1</v>
      </c>
      <c r="I26" s="116"/>
      <c r="J26" s="15">
        <f t="shared" ref="J26:J32" si="2">(0.5*H26)*D26*A26</f>
        <v>127.65</v>
      </c>
      <c r="K26" s="15"/>
      <c r="O26" s="10">
        <v>10</v>
      </c>
      <c r="P26" s="115">
        <f t="shared" si="1"/>
        <v>5</v>
      </c>
      <c r="Q26" s="115"/>
      <c r="R26" s="115">
        <v>25.53</v>
      </c>
      <c r="S26" s="115"/>
      <c r="T26" s="115">
        <v>12.765000000000001</v>
      </c>
      <c r="U26" s="115"/>
      <c r="V26" s="123">
        <v>157.5</v>
      </c>
      <c r="W26" s="123"/>
      <c r="X26" s="115">
        <v>1</v>
      </c>
      <c r="Y26" s="115"/>
      <c r="Z26" s="15">
        <f t="shared" ref="Z26:Z32" si="3">(0.5*X26)*R26*O26</f>
        <v>127.65</v>
      </c>
      <c r="AA26" s="15"/>
    </row>
    <row r="27" spans="1:27" x14ac:dyDescent="0.35">
      <c r="A27" s="9">
        <v>15.55</v>
      </c>
      <c r="B27" s="116">
        <f>A27/2</f>
        <v>7.7750000000000004</v>
      </c>
      <c r="C27" s="116"/>
      <c r="D27" s="117">
        <v>22.65</v>
      </c>
      <c r="E27" s="117"/>
      <c r="F27" s="116">
        <v>11.33</v>
      </c>
      <c r="G27" s="116"/>
      <c r="H27" s="116">
        <v>1</v>
      </c>
      <c r="I27" s="116"/>
      <c r="J27" s="15">
        <f t="shared" si="2"/>
        <v>176.10374999999999</v>
      </c>
      <c r="K27" s="15"/>
      <c r="L27" s="25" t="s">
        <v>16</v>
      </c>
      <c r="M27" s="25"/>
      <c r="N27" s="11"/>
      <c r="O27" s="21">
        <v>15.55</v>
      </c>
      <c r="P27" s="116">
        <f>O27/2</f>
        <v>7.7750000000000004</v>
      </c>
      <c r="Q27" s="116"/>
      <c r="R27" s="117">
        <v>22.65</v>
      </c>
      <c r="S27" s="117"/>
      <c r="T27" s="116">
        <v>11.33</v>
      </c>
      <c r="U27" s="116"/>
      <c r="V27" s="116">
        <v>145</v>
      </c>
      <c r="W27" s="116"/>
      <c r="X27" s="116">
        <v>1</v>
      </c>
      <c r="Y27" s="116"/>
      <c r="Z27" s="22">
        <f t="shared" si="3"/>
        <v>176.10374999999999</v>
      </c>
      <c r="AA27" s="22"/>
    </row>
    <row r="28" spans="1:27" x14ac:dyDescent="0.35">
      <c r="A28" s="12">
        <v>20</v>
      </c>
      <c r="B28" s="116">
        <v>10</v>
      </c>
      <c r="C28" s="116"/>
      <c r="D28" s="116">
        <v>23.75</v>
      </c>
      <c r="E28" s="116"/>
      <c r="F28" s="116">
        <v>11.86</v>
      </c>
      <c r="G28" s="116"/>
      <c r="H28" s="116">
        <v>1</v>
      </c>
      <c r="I28" s="116"/>
      <c r="J28" s="15">
        <f t="shared" si="2"/>
        <v>237.5</v>
      </c>
      <c r="K28" s="15"/>
      <c r="L28" s="11"/>
      <c r="O28" s="21">
        <v>20</v>
      </c>
      <c r="P28" s="116">
        <v>10</v>
      </c>
      <c r="Q28" s="116"/>
      <c r="R28" s="116">
        <v>23.75</v>
      </c>
      <c r="S28" s="116"/>
      <c r="T28" s="116">
        <v>11.86</v>
      </c>
      <c r="U28" s="116"/>
      <c r="V28" s="116">
        <v>140</v>
      </c>
      <c r="W28" s="116"/>
      <c r="X28" s="116">
        <v>1</v>
      </c>
      <c r="Y28" s="116"/>
      <c r="Z28" s="22">
        <f t="shared" si="3"/>
        <v>237.5</v>
      </c>
      <c r="AA28" s="22"/>
    </row>
    <row r="29" spans="1:27" x14ac:dyDescent="0.35">
      <c r="A29" s="9">
        <v>25</v>
      </c>
      <c r="B29" s="115">
        <f t="shared" ref="B29:B31" si="4">A29/2</f>
        <v>12.5</v>
      </c>
      <c r="C29" s="115"/>
      <c r="D29" s="115">
        <v>21.52</v>
      </c>
      <c r="E29" s="115"/>
      <c r="F29" s="115">
        <v>10.76</v>
      </c>
      <c r="G29" s="115"/>
      <c r="H29" s="116">
        <v>1</v>
      </c>
      <c r="I29" s="116"/>
      <c r="J29" s="15">
        <f t="shared" si="2"/>
        <v>269</v>
      </c>
      <c r="K29" s="15"/>
      <c r="O29" s="10">
        <v>25</v>
      </c>
      <c r="P29" s="115">
        <f t="shared" ref="P29" si="5">O29/2</f>
        <v>12.5</v>
      </c>
      <c r="Q29" s="115"/>
      <c r="R29" s="115">
        <v>21.52</v>
      </c>
      <c r="S29" s="115"/>
      <c r="T29" s="115">
        <v>10.76</v>
      </c>
      <c r="U29" s="115"/>
      <c r="V29" s="123">
        <v>131</v>
      </c>
      <c r="W29" s="123"/>
      <c r="X29" s="115">
        <v>1</v>
      </c>
      <c r="Y29" s="115"/>
      <c r="Z29" s="15">
        <f t="shared" si="3"/>
        <v>269</v>
      </c>
      <c r="AA29" s="15"/>
    </row>
    <row r="30" spans="1:27" x14ac:dyDescent="0.35">
      <c r="A30" s="9">
        <v>30</v>
      </c>
      <c r="B30" s="115">
        <v>15</v>
      </c>
      <c r="C30" s="115"/>
      <c r="D30" s="115">
        <v>20.39</v>
      </c>
      <c r="E30" s="115"/>
      <c r="F30" s="115">
        <v>10.24</v>
      </c>
      <c r="G30" s="115"/>
      <c r="H30" s="116">
        <v>1</v>
      </c>
      <c r="I30" s="116"/>
      <c r="J30" s="15">
        <f t="shared" si="2"/>
        <v>305.85000000000002</v>
      </c>
      <c r="K30" s="15"/>
      <c r="O30" s="10">
        <v>30</v>
      </c>
      <c r="P30" s="115">
        <v>15</v>
      </c>
      <c r="Q30" s="115"/>
      <c r="R30" s="115">
        <v>20.39</v>
      </c>
      <c r="S30" s="115"/>
      <c r="T30" s="115">
        <v>10.24</v>
      </c>
      <c r="U30" s="115"/>
      <c r="V30" s="123">
        <v>124</v>
      </c>
      <c r="W30" s="123"/>
      <c r="X30" s="115">
        <v>1</v>
      </c>
      <c r="Y30" s="115"/>
      <c r="Z30" s="15">
        <f t="shared" si="3"/>
        <v>305.85000000000002</v>
      </c>
      <c r="AA30" s="15"/>
    </row>
    <row r="31" spans="1:27" x14ac:dyDescent="0.35">
      <c r="A31" s="9">
        <v>35</v>
      </c>
      <c r="B31" s="115">
        <f t="shared" si="4"/>
        <v>17.5</v>
      </c>
      <c r="C31" s="115"/>
      <c r="D31" s="115">
        <v>17.95</v>
      </c>
      <c r="E31" s="115"/>
      <c r="F31" s="115">
        <v>8.9</v>
      </c>
      <c r="G31" s="115"/>
      <c r="H31" s="116">
        <v>1</v>
      </c>
      <c r="I31" s="116"/>
      <c r="J31" s="15">
        <f t="shared" si="2"/>
        <v>314.125</v>
      </c>
      <c r="K31" s="15"/>
      <c r="O31" s="10">
        <v>35</v>
      </c>
      <c r="P31" s="115">
        <f t="shared" ref="P31" si="6">O31/2</f>
        <v>17.5</v>
      </c>
      <c r="Q31" s="115"/>
      <c r="R31" s="115">
        <v>17.95</v>
      </c>
      <c r="S31" s="115"/>
      <c r="T31" s="115">
        <v>8.9</v>
      </c>
      <c r="U31" s="115"/>
      <c r="V31" s="123">
        <v>123.5</v>
      </c>
      <c r="W31" s="123"/>
      <c r="X31" s="115">
        <v>1</v>
      </c>
      <c r="Y31" s="115"/>
      <c r="Z31" s="15">
        <f t="shared" si="3"/>
        <v>314.125</v>
      </c>
      <c r="AA31" s="15"/>
    </row>
    <row r="32" spans="1:27" x14ac:dyDescent="0.35">
      <c r="A32" s="9">
        <v>40</v>
      </c>
      <c r="B32" s="115">
        <v>20</v>
      </c>
      <c r="C32" s="115"/>
      <c r="D32" s="115">
        <v>17.5</v>
      </c>
      <c r="E32" s="115"/>
      <c r="F32" s="115">
        <v>8.75</v>
      </c>
      <c r="G32" s="115"/>
      <c r="H32" s="116">
        <v>1</v>
      </c>
      <c r="I32" s="116"/>
      <c r="J32" s="15">
        <f t="shared" si="2"/>
        <v>350</v>
      </c>
      <c r="K32" s="15"/>
      <c r="O32" s="10">
        <v>40</v>
      </c>
      <c r="P32" s="115">
        <v>20</v>
      </c>
      <c r="Q32" s="115"/>
      <c r="R32" s="115">
        <v>17.5</v>
      </c>
      <c r="S32" s="115"/>
      <c r="T32" s="115">
        <v>8.75</v>
      </c>
      <c r="U32" s="115"/>
      <c r="V32" s="123">
        <v>123</v>
      </c>
      <c r="W32" s="123"/>
      <c r="X32" s="115">
        <v>1</v>
      </c>
      <c r="Y32" s="115"/>
      <c r="Z32" s="15">
        <f t="shared" si="3"/>
        <v>350</v>
      </c>
      <c r="AA32" s="15"/>
    </row>
    <row r="33" spans="1:28" x14ac:dyDescent="0.35">
      <c r="A33" s="2"/>
      <c r="B33" s="115"/>
      <c r="C33" s="115"/>
      <c r="D33" s="115"/>
      <c r="E33" s="115"/>
      <c r="F33" s="115"/>
      <c r="G33" s="115"/>
      <c r="H33" s="116"/>
      <c r="I33" s="116"/>
      <c r="J33" s="2"/>
      <c r="K33" s="2"/>
      <c r="O33" s="25" t="s">
        <v>127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x14ac:dyDescent="0.35">
      <c r="A34" s="13"/>
      <c r="B34" s="115"/>
      <c r="C34" s="115"/>
      <c r="D34" s="115"/>
      <c r="E34" s="115"/>
      <c r="F34" s="115"/>
      <c r="G34" s="115"/>
      <c r="H34" s="115"/>
      <c r="I34" s="115"/>
      <c r="J34" s="2"/>
      <c r="K34" s="2"/>
    </row>
    <row r="35" spans="1:28" x14ac:dyDescent="0.35">
      <c r="A35" s="2"/>
      <c r="B35" s="115"/>
      <c r="C35" s="115"/>
      <c r="D35" s="115"/>
      <c r="E35" s="115"/>
      <c r="F35" s="115"/>
      <c r="G35" s="115"/>
      <c r="H35" s="115"/>
      <c r="I35" s="115"/>
      <c r="J35" s="2"/>
      <c r="K35" s="2"/>
    </row>
    <row r="36" spans="1:28" x14ac:dyDescent="0.35">
      <c r="A36" s="2"/>
      <c r="B36" s="115"/>
      <c r="C36" s="115"/>
      <c r="D36" s="115"/>
      <c r="E36" s="115"/>
      <c r="F36" s="115"/>
      <c r="G36" s="115"/>
      <c r="H36" s="115"/>
      <c r="I36" s="115"/>
      <c r="J36" s="2"/>
      <c r="K36" s="2"/>
    </row>
    <row r="46" spans="1:28" x14ac:dyDescent="0.35">
      <c r="N46" s="29"/>
    </row>
    <row r="47" spans="1:28" x14ac:dyDescent="0.35">
      <c r="D47" s="19"/>
      <c r="E47" s="19"/>
      <c r="F47" s="19"/>
      <c r="G47" s="19"/>
      <c r="N47" s="30"/>
    </row>
    <row r="48" spans="1:28" x14ac:dyDescent="0.35">
      <c r="D48" s="19"/>
      <c r="E48" s="19"/>
      <c r="F48" s="19"/>
      <c r="G48" s="19"/>
      <c r="N48" s="30"/>
    </row>
    <row r="51" spans="1:1" ht="15.5" x14ac:dyDescent="0.35">
      <c r="A51" s="24" t="s">
        <v>15</v>
      </c>
    </row>
    <row r="68" spans="2:6" x14ac:dyDescent="0.35">
      <c r="B68" s="1"/>
      <c r="C68" s="1"/>
      <c r="D68" s="1"/>
      <c r="E68" s="1"/>
    </row>
    <row r="69" spans="2:6" x14ac:dyDescent="0.35">
      <c r="B69" s="1" t="s">
        <v>36</v>
      </c>
      <c r="C69" s="1" t="s">
        <v>37</v>
      </c>
      <c r="D69" s="1" t="s">
        <v>39</v>
      </c>
      <c r="E69" s="1" t="s">
        <v>38</v>
      </c>
      <c r="F69" s="1" t="s">
        <v>30</v>
      </c>
    </row>
    <row r="70" spans="2:6" x14ac:dyDescent="0.35">
      <c r="B70">
        <v>3</v>
      </c>
      <c r="C70">
        <v>8</v>
      </c>
      <c r="D70">
        <v>1.1000000000000001</v>
      </c>
      <c r="E70">
        <f>CONVERT(D70,"m","ft")</f>
        <v>3.6089238845144358</v>
      </c>
      <c r="F70">
        <f>0.5*D70*C70*B70</f>
        <v>13.200000000000001</v>
      </c>
    </row>
  </sheetData>
  <mergeCells count="98">
    <mergeCell ref="P32:Q32"/>
    <mergeCell ref="R32:S32"/>
    <mergeCell ref="T32:U32"/>
    <mergeCell ref="V32:W32"/>
    <mergeCell ref="X32:Y32"/>
    <mergeCell ref="P31:Q31"/>
    <mergeCell ref="R31:S31"/>
    <mergeCell ref="T31:U31"/>
    <mergeCell ref="V31:W31"/>
    <mergeCell ref="X31:Y31"/>
    <mergeCell ref="P30:Q30"/>
    <mergeCell ref="R30:S30"/>
    <mergeCell ref="T30:U30"/>
    <mergeCell ref="V30:W30"/>
    <mergeCell ref="X30:Y30"/>
    <mergeCell ref="P29:Q29"/>
    <mergeCell ref="R29:S29"/>
    <mergeCell ref="T29:U29"/>
    <mergeCell ref="V29:W29"/>
    <mergeCell ref="X29:Y29"/>
    <mergeCell ref="P28:Q28"/>
    <mergeCell ref="R28:S28"/>
    <mergeCell ref="T28:U28"/>
    <mergeCell ref="V28:W28"/>
    <mergeCell ref="X28:Y28"/>
    <mergeCell ref="P27:Q27"/>
    <mergeCell ref="R27:S27"/>
    <mergeCell ref="T27:U27"/>
    <mergeCell ref="V27:W27"/>
    <mergeCell ref="X27:Y27"/>
    <mergeCell ref="P25:Q25"/>
    <mergeCell ref="R25:S25"/>
    <mergeCell ref="T25:U25"/>
    <mergeCell ref="V25:W25"/>
    <mergeCell ref="X25:Y25"/>
    <mergeCell ref="P24:Q24"/>
    <mergeCell ref="R24:S24"/>
    <mergeCell ref="T24:U24"/>
    <mergeCell ref="V24:W24"/>
    <mergeCell ref="X24:Y24"/>
    <mergeCell ref="P26:Q26"/>
    <mergeCell ref="R26:S26"/>
    <mergeCell ref="T26:U26"/>
    <mergeCell ref="V26:W26"/>
    <mergeCell ref="X26:Y26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  <mergeCell ref="B27:C27"/>
    <mergeCell ref="D27:E27"/>
    <mergeCell ref="F27:G27"/>
    <mergeCell ref="H27:I27"/>
    <mergeCell ref="B28:C28"/>
    <mergeCell ref="D28:E28"/>
    <mergeCell ref="F28:G28"/>
    <mergeCell ref="H28:I28"/>
    <mergeCell ref="B29:C29"/>
    <mergeCell ref="D29:E29"/>
    <mergeCell ref="F29:G29"/>
    <mergeCell ref="H29:I29"/>
    <mergeCell ref="B30:C30"/>
    <mergeCell ref="D30:E30"/>
    <mergeCell ref="F30:G30"/>
    <mergeCell ref="H30:I30"/>
    <mergeCell ref="B31:C31"/>
    <mergeCell ref="D31:E31"/>
    <mergeCell ref="F31:G31"/>
    <mergeCell ref="H31:I31"/>
    <mergeCell ref="H32:I32"/>
    <mergeCell ref="B33:C33"/>
    <mergeCell ref="D33:E33"/>
    <mergeCell ref="F33:G33"/>
    <mergeCell ref="H33:I33"/>
    <mergeCell ref="A1:L1"/>
    <mergeCell ref="B36:C36"/>
    <mergeCell ref="D36:E36"/>
    <mergeCell ref="F36:G36"/>
    <mergeCell ref="H36:I36"/>
    <mergeCell ref="B34:C34"/>
    <mergeCell ref="D34:E34"/>
    <mergeCell ref="F34:G34"/>
    <mergeCell ref="H34:I34"/>
    <mergeCell ref="B35:C35"/>
    <mergeCell ref="D35:E35"/>
    <mergeCell ref="F35:G35"/>
    <mergeCell ref="H35:I35"/>
    <mergeCell ref="B32:C32"/>
    <mergeCell ref="D32:E32"/>
    <mergeCell ref="F32:G32"/>
  </mergeCells>
  <hyperlinks>
    <hyperlink ref="A21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C41"/>
  <sheetViews>
    <sheetView zoomScale="85" zoomScaleNormal="85" workbookViewId="0">
      <selection activeCell="V20" sqref="V20"/>
    </sheetView>
  </sheetViews>
  <sheetFormatPr defaultRowHeight="14.5" x14ac:dyDescent="0.35"/>
  <cols>
    <col min="3" max="3" width="14.54296875" customWidth="1"/>
    <col min="11" max="11" width="10.54296875" customWidth="1"/>
    <col min="12" max="12" width="14" customWidth="1"/>
    <col min="14" max="14" width="11.453125" customWidth="1"/>
    <col min="15" max="16" width="9.1796875" style="11"/>
    <col min="21" max="21" width="13" customWidth="1"/>
  </cols>
  <sheetData>
    <row r="2" spans="3:22" ht="18.5" x14ac:dyDescent="0.45">
      <c r="C2" s="6" t="s">
        <v>29</v>
      </c>
      <c r="D2" s="28"/>
      <c r="E2" s="28"/>
      <c r="F2" s="28"/>
      <c r="G2" s="28"/>
      <c r="H2" s="28"/>
      <c r="I2" s="28"/>
      <c r="J2" s="28"/>
      <c r="K2" s="28"/>
      <c r="L2" s="4"/>
      <c r="M2" s="3"/>
      <c r="N2" s="3"/>
      <c r="O2" s="45"/>
      <c r="P2" s="45"/>
      <c r="Q2" s="3"/>
      <c r="R2" s="3"/>
      <c r="S2" s="3"/>
      <c r="T2" s="3"/>
      <c r="U2" s="3"/>
      <c r="V2" s="3"/>
    </row>
    <row r="3" spans="3:22" ht="18.5" x14ac:dyDescent="0.45">
      <c r="C3" s="7"/>
      <c r="D3" s="28"/>
      <c r="E3" s="28"/>
      <c r="F3" s="28"/>
      <c r="G3" s="28"/>
      <c r="H3" s="28"/>
      <c r="I3" s="28"/>
      <c r="J3" s="28"/>
      <c r="K3" s="28"/>
      <c r="L3" s="20" t="s">
        <v>1</v>
      </c>
      <c r="M3" s="118" t="s">
        <v>9</v>
      </c>
      <c r="N3" s="119"/>
      <c r="O3" s="126" t="s">
        <v>10</v>
      </c>
      <c r="P3" s="126"/>
      <c r="Q3" s="127" t="s">
        <v>26</v>
      </c>
      <c r="R3" s="127"/>
      <c r="S3" s="121" t="s">
        <v>12</v>
      </c>
      <c r="T3" s="122"/>
    </row>
    <row r="4" spans="3:22" ht="18.5" x14ac:dyDescent="0.45">
      <c r="C4" s="34" t="s">
        <v>20</v>
      </c>
      <c r="D4" s="35"/>
      <c r="E4" s="35"/>
      <c r="F4" s="35"/>
      <c r="G4" s="35"/>
      <c r="H4" s="28"/>
      <c r="I4" s="28"/>
      <c r="J4" s="28"/>
      <c r="K4" s="28"/>
      <c r="L4" s="43">
        <v>5.3</v>
      </c>
      <c r="M4" s="115">
        <f t="shared" ref="M4:M5" si="0">L4/2</f>
        <v>2.65</v>
      </c>
      <c r="N4" s="115"/>
      <c r="O4" s="116">
        <v>27.18</v>
      </c>
      <c r="P4" s="116"/>
      <c r="Q4" s="125">
        <f t="shared" ref="Q4:Q5" si="1">((M4^2)+(O4^2))/(2*O4)</f>
        <v>13.719185062545989</v>
      </c>
      <c r="R4" s="125"/>
      <c r="S4" s="116">
        <v>1</v>
      </c>
      <c r="T4" s="116"/>
    </row>
    <row r="5" spans="3:22" x14ac:dyDescent="0.35">
      <c r="C5" t="s">
        <v>21</v>
      </c>
      <c r="L5" s="43">
        <v>10</v>
      </c>
      <c r="M5" s="115">
        <f t="shared" si="0"/>
        <v>5</v>
      </c>
      <c r="N5" s="115"/>
      <c r="O5" s="116">
        <v>25.53</v>
      </c>
      <c r="P5" s="116"/>
      <c r="Q5" s="125">
        <f t="shared" si="1"/>
        <v>13.254620054837448</v>
      </c>
      <c r="R5" s="125"/>
      <c r="S5" s="116">
        <v>1</v>
      </c>
      <c r="T5" s="116"/>
    </row>
    <row r="6" spans="3:22" x14ac:dyDescent="0.35">
      <c r="L6" s="43">
        <v>15.55</v>
      </c>
      <c r="M6" s="116">
        <f>L6/2</f>
        <v>7.7750000000000004</v>
      </c>
      <c r="N6" s="116"/>
      <c r="O6" s="116">
        <v>24.65</v>
      </c>
      <c r="P6" s="116"/>
      <c r="Q6" s="125">
        <f t="shared" ref="Q6:Q11" si="2">((M6^2)+(O6^2))/(2*O6)</f>
        <v>13.55117900608519</v>
      </c>
      <c r="R6" s="125"/>
      <c r="S6" s="116">
        <v>1</v>
      </c>
      <c r="T6" s="116"/>
    </row>
    <row r="7" spans="3:22" x14ac:dyDescent="0.35">
      <c r="L7" s="44">
        <v>20</v>
      </c>
      <c r="M7" s="116">
        <v>10</v>
      </c>
      <c r="N7" s="116"/>
      <c r="O7" s="116">
        <v>23.75</v>
      </c>
      <c r="P7" s="116"/>
      <c r="Q7" s="125">
        <f t="shared" si="2"/>
        <v>13.980263157894736</v>
      </c>
      <c r="R7" s="125"/>
      <c r="S7" s="116">
        <v>1</v>
      </c>
      <c r="T7" s="116"/>
    </row>
    <row r="8" spans="3:22" x14ac:dyDescent="0.35">
      <c r="C8" s="31"/>
      <c r="D8" s="32"/>
      <c r="E8" s="33"/>
      <c r="F8" s="31"/>
      <c r="L8" s="43">
        <v>25</v>
      </c>
      <c r="M8" s="115">
        <f t="shared" ref="M8:M10" si="3">L8/2</f>
        <v>12.5</v>
      </c>
      <c r="N8" s="115"/>
      <c r="O8" s="116">
        <v>21.52</v>
      </c>
      <c r="P8" s="116"/>
      <c r="Q8" s="125">
        <f t="shared" si="2"/>
        <v>14.390343866171005</v>
      </c>
      <c r="R8" s="125"/>
      <c r="S8" s="116">
        <v>1</v>
      </c>
      <c r="T8" s="116"/>
    </row>
    <row r="9" spans="3:22" x14ac:dyDescent="0.35">
      <c r="C9" s="31"/>
      <c r="D9" s="32"/>
      <c r="E9" s="33"/>
      <c r="L9" s="43">
        <v>30</v>
      </c>
      <c r="M9" s="115">
        <v>15</v>
      </c>
      <c r="N9" s="115"/>
      <c r="O9" s="116">
        <v>20.39</v>
      </c>
      <c r="P9" s="116"/>
      <c r="Q9" s="125">
        <f t="shared" si="2"/>
        <v>15.712410495340855</v>
      </c>
      <c r="R9" s="125"/>
      <c r="S9" s="116">
        <v>1</v>
      </c>
      <c r="T9" s="116"/>
    </row>
    <row r="10" spans="3:22" x14ac:dyDescent="0.35">
      <c r="L10" s="43">
        <v>35</v>
      </c>
      <c r="M10" s="115">
        <f t="shared" si="3"/>
        <v>17.5</v>
      </c>
      <c r="N10" s="115"/>
      <c r="O10" s="116">
        <v>17.95</v>
      </c>
      <c r="P10" s="116"/>
      <c r="Q10" s="125">
        <f t="shared" si="2"/>
        <v>17.505640668523679</v>
      </c>
      <c r="R10" s="125"/>
      <c r="S10" s="116">
        <v>1</v>
      </c>
      <c r="T10" s="116"/>
    </row>
    <row r="11" spans="3:22" x14ac:dyDescent="0.35">
      <c r="C11" t="s">
        <v>22</v>
      </c>
      <c r="E11" t="s">
        <v>23</v>
      </c>
      <c r="L11" s="43">
        <v>40</v>
      </c>
      <c r="M11" s="115">
        <v>20</v>
      </c>
      <c r="N11" s="115"/>
      <c r="O11" s="116">
        <v>17.5</v>
      </c>
      <c r="P11" s="116"/>
      <c r="Q11" s="128">
        <f t="shared" si="2"/>
        <v>20.178571428571427</v>
      </c>
      <c r="R11" s="128"/>
      <c r="S11" s="116">
        <v>1</v>
      </c>
      <c r="T11" s="116"/>
    </row>
    <row r="14" spans="3:22" ht="12" customHeight="1" x14ac:dyDescent="0.35"/>
    <row r="18" spans="3:23" ht="18.75" customHeight="1" x14ac:dyDescent="0.45">
      <c r="C18" s="40" t="s">
        <v>24</v>
      </c>
      <c r="D18" s="36"/>
      <c r="E18" s="36"/>
      <c r="F18" s="36"/>
      <c r="G18" s="36"/>
      <c r="H18" s="36"/>
      <c r="I18" s="36"/>
      <c r="L18" s="20" t="s">
        <v>1</v>
      </c>
      <c r="M18" s="118" t="s">
        <v>9</v>
      </c>
      <c r="N18" s="119"/>
      <c r="O18" s="121" t="s">
        <v>10</v>
      </c>
      <c r="P18" s="122"/>
      <c r="Q18" s="121" t="s">
        <v>26</v>
      </c>
      <c r="R18" s="122"/>
      <c r="S18" s="37" t="s">
        <v>27</v>
      </c>
    </row>
    <row r="19" spans="3:23" ht="23" x14ac:dyDescent="0.35">
      <c r="C19" s="33" t="s">
        <v>25</v>
      </c>
      <c r="L19" s="26">
        <v>5.3</v>
      </c>
      <c r="M19" s="129">
        <f t="shared" ref="M19:M20" si="4">L19/2</f>
        <v>2.65</v>
      </c>
      <c r="N19" s="130"/>
      <c r="O19" s="131">
        <v>27.18</v>
      </c>
      <c r="P19" s="132"/>
      <c r="Q19" s="133">
        <v>13.719185062545989</v>
      </c>
      <c r="R19" s="134"/>
      <c r="S19" s="36">
        <f t="shared" ref="S19:S20" si="5">(0.5*3.14)+(ATAN((O19-Q19)/M19))</f>
        <v>2.9464143769484341</v>
      </c>
    </row>
    <row r="20" spans="3:23" x14ac:dyDescent="0.35">
      <c r="L20" s="26">
        <v>10</v>
      </c>
      <c r="M20" s="129">
        <f t="shared" si="4"/>
        <v>5</v>
      </c>
      <c r="N20" s="130"/>
      <c r="O20" s="131">
        <v>25.53</v>
      </c>
      <c r="P20" s="132"/>
      <c r="Q20" s="135">
        <v>13.254620054837448</v>
      </c>
      <c r="R20" s="136"/>
      <c r="S20" s="36">
        <f t="shared" si="5"/>
        <v>2.7539961182108454</v>
      </c>
    </row>
    <row r="21" spans="3:23" x14ac:dyDescent="0.35">
      <c r="C21" s="31"/>
      <c r="D21" s="32"/>
      <c r="E21" s="33"/>
      <c r="F21" s="31"/>
      <c r="L21" s="27">
        <v>15.55</v>
      </c>
      <c r="M21" s="131">
        <f>L21/2</f>
        <v>7.7750000000000004</v>
      </c>
      <c r="N21" s="132"/>
      <c r="O21" s="131">
        <v>24.65</v>
      </c>
      <c r="P21" s="132"/>
      <c r="Q21" s="135">
        <v>13.55</v>
      </c>
      <c r="R21" s="136"/>
      <c r="S21" s="36">
        <f>(0.5*3.14)+(ATAN((O21-Q21)/M21))</f>
        <v>2.529768110639163</v>
      </c>
    </row>
    <row r="22" spans="3:23" x14ac:dyDescent="0.35">
      <c r="C22" s="31"/>
      <c r="D22" s="32"/>
      <c r="E22" s="33"/>
      <c r="F22" s="31"/>
      <c r="L22" s="27">
        <v>20</v>
      </c>
      <c r="M22" s="131">
        <v>10</v>
      </c>
      <c r="N22" s="132"/>
      <c r="O22" s="131">
        <v>23.75</v>
      </c>
      <c r="P22" s="132"/>
      <c r="Q22" s="135">
        <v>13.980263157894736</v>
      </c>
      <c r="R22" s="136"/>
      <c r="S22" s="36">
        <f t="shared" ref="S22:S23" si="6">(0.5*3.14)+(ATAN((O22-Q22)/M22))</f>
        <v>2.3437514354620563</v>
      </c>
      <c r="W22" s="19"/>
    </row>
    <row r="23" spans="3:23" x14ac:dyDescent="0.35">
      <c r="C23" s="31"/>
      <c r="D23" s="32"/>
      <c r="E23" s="33"/>
      <c r="F23" s="31"/>
      <c r="L23" s="26">
        <v>25</v>
      </c>
      <c r="M23" s="129">
        <f t="shared" ref="M23" si="7">L23/2</f>
        <v>12.5</v>
      </c>
      <c r="N23" s="130"/>
      <c r="O23" s="131">
        <v>21.52</v>
      </c>
      <c r="P23" s="132"/>
      <c r="Q23" s="135">
        <v>14.390343866171005</v>
      </c>
      <c r="R23" s="136"/>
      <c r="S23" s="36">
        <f t="shared" si="6"/>
        <v>2.0883496296818551</v>
      </c>
    </row>
    <row r="24" spans="3:23" x14ac:dyDescent="0.35">
      <c r="C24" s="31"/>
      <c r="D24" s="32"/>
      <c r="E24" s="33"/>
      <c r="L24" s="26">
        <v>30</v>
      </c>
      <c r="M24" s="129">
        <v>15</v>
      </c>
      <c r="N24" s="130"/>
      <c r="O24" s="131">
        <v>20.39</v>
      </c>
      <c r="P24" s="132"/>
      <c r="Q24" s="135">
        <v>15.712410495340855</v>
      </c>
      <c r="R24" s="136"/>
      <c r="S24" s="36">
        <f>(0.5*3.14)+(ATAN((O24-Q24)/M24))</f>
        <v>1.872282836627553</v>
      </c>
    </row>
    <row r="25" spans="3:23" x14ac:dyDescent="0.35">
      <c r="L25" s="26">
        <v>35</v>
      </c>
      <c r="M25" s="129">
        <f t="shared" ref="M25" si="8">L25/2</f>
        <v>17.5</v>
      </c>
      <c r="N25" s="130"/>
      <c r="O25" s="131">
        <v>17.95</v>
      </c>
      <c r="P25" s="132"/>
      <c r="Q25" s="135">
        <v>17.505640668523679</v>
      </c>
      <c r="R25" s="136"/>
      <c r="S25" s="36">
        <f>(0.5*3.14)+(ATAN((O25-Q25)/M25))</f>
        <v>1.5953865067384054</v>
      </c>
    </row>
    <row r="26" spans="3:23" x14ac:dyDescent="0.35">
      <c r="L26" s="26">
        <v>40</v>
      </c>
      <c r="M26" s="129">
        <v>20</v>
      </c>
      <c r="N26" s="130"/>
      <c r="O26" s="131">
        <v>17.5</v>
      </c>
      <c r="P26" s="132"/>
      <c r="Q26" s="137">
        <v>20.178571428571427</v>
      </c>
      <c r="R26" s="138"/>
      <c r="S26" s="36">
        <f t="shared" ref="S26" si="9">(0.5*3.14)+(ATAN((O26-Q26)/M26))</f>
        <v>1.4368636724483526</v>
      </c>
    </row>
    <row r="31" spans="3:23" ht="18.5" x14ac:dyDescent="0.45">
      <c r="C31" s="40" t="s">
        <v>28</v>
      </c>
      <c r="D31" s="36"/>
      <c r="E31" s="36"/>
      <c r="F31" s="36"/>
      <c r="G31" s="36"/>
      <c r="H31" s="36"/>
      <c r="I31" s="36"/>
      <c r="L31" t="s">
        <v>40</v>
      </c>
    </row>
    <row r="32" spans="3:23" ht="18.5" x14ac:dyDescent="0.45">
      <c r="L32" s="20" t="s">
        <v>1</v>
      </c>
      <c r="M32" s="118" t="s">
        <v>9</v>
      </c>
      <c r="N32" s="119"/>
      <c r="O32" s="126" t="s">
        <v>10</v>
      </c>
      <c r="P32" s="126"/>
      <c r="Q32" s="127" t="s">
        <v>26</v>
      </c>
      <c r="R32" s="127"/>
      <c r="S32" s="37" t="s">
        <v>27</v>
      </c>
      <c r="T32" s="14" t="s">
        <v>31</v>
      </c>
      <c r="U32" s="41" t="s">
        <v>30</v>
      </c>
      <c r="W32" s="18" t="s">
        <v>8</v>
      </c>
    </row>
    <row r="33" spans="12:29" x14ac:dyDescent="0.35">
      <c r="L33" s="26">
        <v>5.3</v>
      </c>
      <c r="M33" s="115">
        <f>L33/2</f>
        <v>2.65</v>
      </c>
      <c r="N33" s="115"/>
      <c r="O33" s="116">
        <v>27.18</v>
      </c>
      <c r="P33" s="116"/>
      <c r="Q33" s="139">
        <v>13.719185062546</v>
      </c>
      <c r="R33" s="140"/>
      <c r="S33" s="38">
        <v>2.9472093769484338</v>
      </c>
      <c r="T33" s="15">
        <f>Y34</f>
        <v>2.7431999999999999</v>
      </c>
      <c r="U33" s="38">
        <f t="shared" ref="U33:U40" si="10">(T33/(3*O33))*((M33*((3*(Q33^2))-(M33^2)))+((3*(Q33^2))*(O33-Q33)*S33))</f>
        <v>803.32420581973531</v>
      </c>
      <c r="W33" s="17" t="s">
        <v>34</v>
      </c>
      <c r="X33" s="17" t="s">
        <v>35</v>
      </c>
      <c r="Y33" s="17" t="s">
        <v>6</v>
      </c>
      <c r="AC33" s="42"/>
    </row>
    <row r="34" spans="12:29" ht="18.5" x14ac:dyDescent="0.45">
      <c r="L34" s="26">
        <v>10</v>
      </c>
      <c r="M34" s="115">
        <f>L34/2</f>
        <v>5</v>
      </c>
      <c r="N34" s="115"/>
      <c r="O34" s="116">
        <v>25.53</v>
      </c>
      <c r="P34" s="116"/>
      <c r="Q34" s="141">
        <v>13.254620054837448</v>
      </c>
      <c r="R34" s="142"/>
      <c r="S34" s="38">
        <v>2.7547911182108455</v>
      </c>
      <c r="T34" s="15">
        <f>Y34</f>
        <v>2.7431999999999999</v>
      </c>
      <c r="U34" s="38">
        <f t="shared" si="10"/>
        <v>728.26849383543572</v>
      </c>
      <c r="W34" s="16">
        <v>9</v>
      </c>
      <c r="X34" s="42">
        <f>IF(W34&gt;9.9,9.9,W34)</f>
        <v>9</v>
      </c>
      <c r="Y34" s="16">
        <f>CONVERT(X34,"ft","m")</f>
        <v>2.7431999999999999</v>
      </c>
    </row>
    <row r="35" spans="12:29" x14ac:dyDescent="0.35">
      <c r="L35" s="26">
        <v>15.55</v>
      </c>
      <c r="M35" s="116">
        <f>L35/2</f>
        <v>7.7750000000000004</v>
      </c>
      <c r="N35" s="116"/>
      <c r="O35" s="116">
        <v>24.65</v>
      </c>
      <c r="P35" s="116"/>
      <c r="Q35" s="141">
        <v>13.55</v>
      </c>
      <c r="R35" s="142"/>
      <c r="S35" s="38">
        <v>2.5297679999999998</v>
      </c>
      <c r="T35" s="15">
        <f>Y34</f>
        <v>2.7431999999999999</v>
      </c>
      <c r="U35" s="38">
        <f t="shared" si="10"/>
        <v>715.1770302984371</v>
      </c>
    </row>
    <row r="36" spans="12:29" x14ac:dyDescent="0.35">
      <c r="L36" s="27">
        <v>20</v>
      </c>
      <c r="M36" s="116">
        <v>10</v>
      </c>
      <c r="N36" s="116"/>
      <c r="O36" s="116">
        <v>23.75</v>
      </c>
      <c r="P36" s="116"/>
      <c r="Q36" s="141">
        <v>13.980263157894736</v>
      </c>
      <c r="R36" s="142"/>
      <c r="S36" s="38">
        <v>2.344546435462056</v>
      </c>
      <c r="T36" s="15">
        <f>Y34</f>
        <v>2.7431999999999999</v>
      </c>
      <c r="U36" s="38">
        <f t="shared" si="10"/>
        <v>704.33741842221627</v>
      </c>
    </row>
    <row r="37" spans="12:29" x14ac:dyDescent="0.35">
      <c r="L37" s="26">
        <v>25</v>
      </c>
      <c r="M37" s="115">
        <f>L37/2</f>
        <v>12.5</v>
      </c>
      <c r="N37" s="115"/>
      <c r="O37" s="116">
        <v>21.52</v>
      </c>
      <c r="P37" s="116"/>
      <c r="Q37" s="141">
        <v>14.390343866171005</v>
      </c>
      <c r="R37" s="142"/>
      <c r="S37" s="38">
        <v>2.0891446296818548</v>
      </c>
      <c r="T37" s="15">
        <f>Y34</f>
        <v>2.7431999999999999</v>
      </c>
      <c r="U37" s="38">
        <f t="shared" si="10"/>
        <v>640.15801693187791</v>
      </c>
      <c r="W37" s="3" t="s">
        <v>33</v>
      </c>
    </row>
    <row r="38" spans="12:29" x14ac:dyDescent="0.35">
      <c r="L38" s="26">
        <v>30</v>
      </c>
      <c r="M38" s="115">
        <v>15</v>
      </c>
      <c r="N38" s="115"/>
      <c r="O38" s="116">
        <v>20.39</v>
      </c>
      <c r="P38" s="116"/>
      <c r="Q38" s="141">
        <v>15.712410495340855</v>
      </c>
      <c r="R38" s="142"/>
      <c r="S38" s="38">
        <v>1.8730778366275529</v>
      </c>
      <c r="T38" s="15">
        <f>Y34</f>
        <v>2.7431999999999999</v>
      </c>
      <c r="U38" s="38">
        <f t="shared" si="10"/>
        <v>637.86903697276477</v>
      </c>
    </row>
    <row r="39" spans="12:29" x14ac:dyDescent="0.35">
      <c r="L39" s="26">
        <v>35</v>
      </c>
      <c r="M39" s="115">
        <f>L39/2</f>
        <v>17.5</v>
      </c>
      <c r="N39" s="115"/>
      <c r="O39" s="116">
        <v>17.95</v>
      </c>
      <c r="P39" s="116"/>
      <c r="Q39" s="141">
        <v>17.505640668523679</v>
      </c>
      <c r="R39" s="142"/>
      <c r="S39" s="38">
        <v>1.5961815067384053</v>
      </c>
      <c r="T39" s="15">
        <f>Y34</f>
        <v>2.7431999999999999</v>
      </c>
      <c r="U39" s="38">
        <f t="shared" si="10"/>
        <v>579.77472646043907</v>
      </c>
    </row>
    <row r="40" spans="12:29" x14ac:dyDescent="0.35">
      <c r="L40" s="26">
        <v>40</v>
      </c>
      <c r="M40" s="115">
        <v>20</v>
      </c>
      <c r="N40" s="115"/>
      <c r="O40" s="116">
        <v>17.5</v>
      </c>
      <c r="P40" s="116"/>
      <c r="Q40" s="143">
        <v>20.178571428571427</v>
      </c>
      <c r="R40" s="144"/>
      <c r="S40" s="39">
        <v>1.4376586724483524</v>
      </c>
      <c r="T40" s="15">
        <f>Y34</f>
        <v>2.7431999999999999</v>
      </c>
      <c r="U40" s="39">
        <f t="shared" si="10"/>
        <v>612.7290890061073</v>
      </c>
    </row>
    <row r="41" spans="12:29" x14ac:dyDescent="0.35">
      <c r="T41" t="s">
        <v>32</v>
      </c>
      <c r="U41" s="38">
        <f>AVERAGE(U33:U40)</f>
        <v>677.70475221837671</v>
      </c>
    </row>
  </sheetData>
  <mergeCells count="90">
    <mergeCell ref="M37:N37"/>
    <mergeCell ref="O37:P37"/>
    <mergeCell ref="Q37:R37"/>
    <mergeCell ref="M40:N40"/>
    <mergeCell ref="O40:P40"/>
    <mergeCell ref="Q40:R40"/>
    <mergeCell ref="M38:N38"/>
    <mergeCell ref="O38:P38"/>
    <mergeCell ref="Q38:R38"/>
    <mergeCell ref="M39:N39"/>
    <mergeCell ref="O39:P39"/>
    <mergeCell ref="Q39:R39"/>
    <mergeCell ref="M35:N35"/>
    <mergeCell ref="O35:P35"/>
    <mergeCell ref="Q35:R35"/>
    <mergeCell ref="M36:N36"/>
    <mergeCell ref="O36:P36"/>
    <mergeCell ref="Q36:R36"/>
    <mergeCell ref="M33:N33"/>
    <mergeCell ref="O33:P33"/>
    <mergeCell ref="Q33:R33"/>
    <mergeCell ref="M34:N34"/>
    <mergeCell ref="O34:P34"/>
    <mergeCell ref="Q34:R34"/>
    <mergeCell ref="M26:N26"/>
    <mergeCell ref="O26:P26"/>
    <mergeCell ref="Q26:R26"/>
    <mergeCell ref="O32:P32"/>
    <mergeCell ref="Q32:R32"/>
    <mergeCell ref="M24:N24"/>
    <mergeCell ref="O24:P24"/>
    <mergeCell ref="Q24:R24"/>
    <mergeCell ref="M25:N25"/>
    <mergeCell ref="O25:P25"/>
    <mergeCell ref="Q25:R25"/>
    <mergeCell ref="M22:N22"/>
    <mergeCell ref="O22:P22"/>
    <mergeCell ref="Q22:R22"/>
    <mergeCell ref="M23:N23"/>
    <mergeCell ref="O23:P23"/>
    <mergeCell ref="Q23:R23"/>
    <mergeCell ref="M18:N18"/>
    <mergeCell ref="O18:P18"/>
    <mergeCell ref="Q18:R18"/>
    <mergeCell ref="M32:N32"/>
    <mergeCell ref="M11:N11"/>
    <mergeCell ref="O11:P11"/>
    <mergeCell ref="Q11:R11"/>
    <mergeCell ref="M19:N19"/>
    <mergeCell ref="O19:P19"/>
    <mergeCell ref="Q19:R19"/>
    <mergeCell ref="M20:N20"/>
    <mergeCell ref="O20:P20"/>
    <mergeCell ref="Q20:R20"/>
    <mergeCell ref="M21:N21"/>
    <mergeCell ref="O21:P21"/>
    <mergeCell ref="Q21:R21"/>
    <mergeCell ref="S11:T11"/>
    <mergeCell ref="M9:N9"/>
    <mergeCell ref="O9:P9"/>
    <mergeCell ref="Q9:R9"/>
    <mergeCell ref="S9:T9"/>
    <mergeCell ref="M10:N10"/>
    <mergeCell ref="O10:P10"/>
    <mergeCell ref="Q10:R10"/>
    <mergeCell ref="S10:T10"/>
    <mergeCell ref="M7:N7"/>
    <mergeCell ref="O7:P7"/>
    <mergeCell ref="Q7:R7"/>
    <mergeCell ref="S7:T7"/>
    <mergeCell ref="M8:N8"/>
    <mergeCell ref="O8:P8"/>
    <mergeCell ref="Q8:R8"/>
    <mergeCell ref="S8:T8"/>
    <mergeCell ref="Q6:R6"/>
    <mergeCell ref="M3:N3"/>
    <mergeCell ref="O3:P3"/>
    <mergeCell ref="Q3:R3"/>
    <mergeCell ref="S3:T3"/>
    <mergeCell ref="M4:N4"/>
    <mergeCell ref="O4:P4"/>
    <mergeCell ref="Q4:R4"/>
    <mergeCell ref="S4:T4"/>
    <mergeCell ref="M5:N5"/>
    <mergeCell ref="O5:P5"/>
    <mergeCell ref="Q5:R5"/>
    <mergeCell ref="S5:T5"/>
    <mergeCell ref="M6:N6"/>
    <mergeCell ref="O6:P6"/>
    <mergeCell ref="S6:T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4"/>
  <sheetViews>
    <sheetView tabSelected="1" topLeftCell="B5" zoomScale="76" workbookViewId="0">
      <selection activeCell="K13" sqref="K13"/>
    </sheetView>
  </sheetViews>
  <sheetFormatPr defaultRowHeight="14.5" x14ac:dyDescent="0.35"/>
  <cols>
    <col min="10" max="10" width="14.81640625" customWidth="1"/>
    <col min="15" max="16" width="6.7265625" customWidth="1"/>
    <col min="18" max="18" width="9.453125" customWidth="1"/>
  </cols>
  <sheetData>
    <row r="1" spans="1:1" x14ac:dyDescent="0.35">
      <c r="A1" t="s">
        <v>89</v>
      </c>
    </row>
    <row r="2" spans="1:1" x14ac:dyDescent="0.35">
      <c r="A2" t="s">
        <v>103</v>
      </c>
    </row>
    <row r="18" spans="1:18" ht="18.5" x14ac:dyDescent="0.45">
      <c r="A18" s="34" t="s">
        <v>20</v>
      </c>
      <c r="B18" s="35"/>
      <c r="C18" s="35"/>
      <c r="D18" s="35"/>
      <c r="E18" s="35"/>
      <c r="F18" s="35"/>
      <c r="G18" s="58"/>
      <c r="H18" s="58"/>
      <c r="I18" s="58"/>
      <c r="J18" s="20" t="s">
        <v>1</v>
      </c>
      <c r="K18" s="118" t="s">
        <v>9</v>
      </c>
      <c r="L18" s="119"/>
      <c r="M18" s="126" t="s">
        <v>10</v>
      </c>
      <c r="N18" s="126"/>
      <c r="O18" s="127" t="s">
        <v>90</v>
      </c>
      <c r="P18" s="127"/>
      <c r="Q18" s="121" t="s">
        <v>12</v>
      </c>
      <c r="R18" s="122"/>
    </row>
    <row r="19" spans="1:18" ht="18.5" x14ac:dyDescent="0.45">
      <c r="A19" t="s">
        <v>21</v>
      </c>
      <c r="G19" s="58"/>
      <c r="H19" s="58"/>
      <c r="I19" s="58"/>
      <c r="J19" s="56">
        <v>5</v>
      </c>
      <c r="K19" s="115">
        <f t="shared" ref="K19:K20" si="0">J19/2</f>
        <v>2.5</v>
      </c>
      <c r="L19" s="115"/>
      <c r="M19" s="116">
        <v>14.57</v>
      </c>
      <c r="N19" s="116"/>
      <c r="O19" s="145">
        <f t="shared" ref="O19:O24" si="1">((K19^2)+(M19^2))/(2*M19)</f>
        <v>7.4994818119423483</v>
      </c>
      <c r="P19" s="146"/>
      <c r="Q19" s="116">
        <v>1</v>
      </c>
      <c r="R19" s="116"/>
    </row>
    <row r="20" spans="1:18" x14ac:dyDescent="0.35">
      <c r="J20" s="56">
        <v>10</v>
      </c>
      <c r="K20" s="115">
        <f t="shared" si="0"/>
        <v>5</v>
      </c>
      <c r="L20" s="115"/>
      <c r="M20" s="116">
        <v>13.8</v>
      </c>
      <c r="N20" s="116"/>
      <c r="O20" s="145">
        <f t="shared" si="1"/>
        <v>7.8057971014492757</v>
      </c>
      <c r="P20" s="146"/>
      <c r="Q20" s="116">
        <v>1</v>
      </c>
      <c r="R20" s="116"/>
    </row>
    <row r="21" spans="1:18" x14ac:dyDescent="0.35">
      <c r="J21" s="56">
        <v>15</v>
      </c>
      <c r="K21" s="116">
        <f>J21/2</f>
        <v>7.5</v>
      </c>
      <c r="L21" s="116"/>
      <c r="M21" s="116">
        <v>12.71</v>
      </c>
      <c r="N21" s="116"/>
      <c r="O21" s="145">
        <f t="shared" si="1"/>
        <v>8.5678245476003152</v>
      </c>
      <c r="P21" s="146"/>
      <c r="Q21" s="116">
        <v>1</v>
      </c>
      <c r="R21" s="116"/>
    </row>
    <row r="22" spans="1:18" x14ac:dyDescent="0.35">
      <c r="A22" s="31"/>
      <c r="B22" s="32"/>
      <c r="C22" s="33"/>
      <c r="D22" s="31"/>
      <c r="J22" s="57">
        <v>20</v>
      </c>
      <c r="K22" s="116">
        <v>10</v>
      </c>
      <c r="L22" s="116"/>
      <c r="M22" s="116">
        <v>10.029999999999999</v>
      </c>
      <c r="N22" s="116"/>
      <c r="O22" s="145">
        <f t="shared" si="1"/>
        <v>10.000044865403787</v>
      </c>
      <c r="P22" s="146"/>
      <c r="Q22" s="116">
        <v>1</v>
      </c>
      <c r="R22" s="116"/>
    </row>
    <row r="23" spans="1:18" x14ac:dyDescent="0.35">
      <c r="A23" s="31"/>
      <c r="B23" s="32"/>
      <c r="C23" s="33"/>
      <c r="J23" s="56">
        <v>25</v>
      </c>
      <c r="K23" s="115">
        <f t="shared" ref="K23" si="2">J23/2</f>
        <v>12.5</v>
      </c>
      <c r="L23" s="115"/>
      <c r="M23" s="116">
        <v>8.0500000000000007</v>
      </c>
      <c r="N23" s="116"/>
      <c r="O23" s="145">
        <f t="shared" si="1"/>
        <v>13.729968944099378</v>
      </c>
      <c r="P23" s="146"/>
      <c r="Q23" s="116">
        <v>1</v>
      </c>
      <c r="R23" s="116"/>
    </row>
    <row r="24" spans="1:18" x14ac:dyDescent="0.35">
      <c r="J24" s="56">
        <v>30</v>
      </c>
      <c r="K24" s="115">
        <v>15</v>
      </c>
      <c r="L24" s="115"/>
      <c r="M24" s="116">
        <v>3.12</v>
      </c>
      <c r="N24" s="116"/>
      <c r="O24" s="145">
        <f t="shared" si="1"/>
        <v>37.617692307692309</v>
      </c>
      <c r="P24" s="146"/>
      <c r="Q24" s="116">
        <v>1</v>
      </c>
      <c r="R24" s="116"/>
    </row>
    <row r="25" spans="1:18" x14ac:dyDescent="0.35">
      <c r="A25" t="s">
        <v>22</v>
      </c>
      <c r="C25" t="s">
        <v>23</v>
      </c>
      <c r="J25" s="60"/>
      <c r="K25" s="60"/>
      <c r="L25" s="60"/>
      <c r="M25" s="61"/>
      <c r="N25" s="61"/>
      <c r="O25" s="61"/>
      <c r="P25" s="61"/>
      <c r="Q25" s="61"/>
      <c r="R25" s="61"/>
    </row>
    <row r="26" spans="1:18" x14ac:dyDescent="0.35">
      <c r="J26" s="60"/>
      <c r="K26" s="60"/>
      <c r="L26" s="60"/>
      <c r="M26" s="61"/>
      <c r="N26" s="61"/>
      <c r="O26" s="61"/>
      <c r="P26" s="61"/>
      <c r="Q26" s="61"/>
      <c r="R26" s="61"/>
    </row>
    <row r="27" spans="1:18" x14ac:dyDescent="0.35">
      <c r="M27" s="11"/>
      <c r="N27" s="11"/>
    </row>
    <row r="28" spans="1:18" x14ac:dyDescent="0.35">
      <c r="M28" s="11"/>
      <c r="N28" s="11"/>
    </row>
    <row r="29" spans="1:18" ht="18.5" x14ac:dyDescent="0.45">
      <c r="A29" s="40" t="s">
        <v>24</v>
      </c>
      <c r="B29" s="36"/>
      <c r="C29" s="36"/>
      <c r="D29" s="36"/>
      <c r="E29" s="36"/>
      <c r="F29" s="36"/>
      <c r="G29" s="36"/>
      <c r="H29" s="36"/>
      <c r="J29" s="20" t="s">
        <v>1</v>
      </c>
      <c r="K29" s="118" t="s">
        <v>9</v>
      </c>
      <c r="L29" s="119"/>
      <c r="M29" s="121" t="s">
        <v>10</v>
      </c>
      <c r="N29" s="122"/>
      <c r="O29" s="121" t="s">
        <v>90</v>
      </c>
      <c r="P29" s="147"/>
      <c r="Q29" s="62" t="s">
        <v>27</v>
      </c>
    </row>
    <row r="30" spans="1:18" x14ac:dyDescent="0.35">
      <c r="A30" s="154" t="s">
        <v>25</v>
      </c>
      <c r="B30" s="154"/>
      <c r="J30" s="56">
        <v>5</v>
      </c>
      <c r="K30" s="115">
        <f t="shared" ref="K30:K31" si="3">J30/2</f>
        <v>2.5</v>
      </c>
      <c r="L30" s="115"/>
      <c r="M30" s="116">
        <v>14.57</v>
      </c>
      <c r="N30" s="116"/>
      <c r="O30" s="148">
        <f t="shared" ref="O30:O35" si="4">((K30^2)+(M30^2))/(2*M30)</f>
        <v>7.4994818119423483</v>
      </c>
      <c r="P30" s="149"/>
      <c r="Q30" s="63">
        <f t="shared" ref="Q30:Q31" si="5">(0.5*3.14)+(ATAN((M30-O30)/K30))</f>
        <v>2.8009349879281098</v>
      </c>
    </row>
    <row r="31" spans="1:18" x14ac:dyDescent="0.35">
      <c r="J31" s="56">
        <v>10</v>
      </c>
      <c r="K31" s="115">
        <f t="shared" si="3"/>
        <v>5</v>
      </c>
      <c r="L31" s="115"/>
      <c r="M31" s="116">
        <v>13.8</v>
      </c>
      <c r="N31" s="116"/>
      <c r="O31" s="148">
        <f t="shared" si="4"/>
        <v>7.8057971014492757</v>
      </c>
      <c r="P31" s="149"/>
      <c r="Q31" s="63">
        <f t="shared" si="5"/>
        <v>2.4455826072830931</v>
      </c>
    </row>
    <row r="32" spans="1:18" x14ac:dyDescent="0.35">
      <c r="A32" s="31"/>
      <c r="B32" s="32"/>
      <c r="C32" s="33"/>
      <c r="D32" s="31"/>
      <c r="J32" s="56">
        <v>15</v>
      </c>
      <c r="K32" s="116">
        <f>J32/2</f>
        <v>7.5</v>
      </c>
      <c r="L32" s="116"/>
      <c r="M32" s="116">
        <v>12.71</v>
      </c>
      <c r="N32" s="116"/>
      <c r="O32" s="148">
        <f t="shared" si="4"/>
        <v>8.5678245476003152</v>
      </c>
      <c r="P32" s="149"/>
      <c r="Q32" s="63">
        <f>(0.5*3.14)+(ATAN((M32-O32)/K32))</f>
        <v>2.0745997142603438</v>
      </c>
    </row>
    <row r="33" spans="1:23" x14ac:dyDescent="0.35">
      <c r="A33" s="31"/>
      <c r="B33" s="32"/>
      <c r="C33" s="33"/>
      <c r="D33" s="31"/>
      <c r="J33" s="57">
        <v>20</v>
      </c>
      <c r="K33" s="116">
        <v>10</v>
      </c>
      <c r="L33" s="116"/>
      <c r="M33" s="116">
        <v>10.029999999999999</v>
      </c>
      <c r="N33" s="116"/>
      <c r="O33" s="148">
        <f t="shared" si="4"/>
        <v>10.000044865403787</v>
      </c>
      <c r="P33" s="149"/>
      <c r="Q33" s="63">
        <f t="shared" ref="Q33:Q34" si="6">(0.5*3.14)+(ATAN((M33-O33)/K33))</f>
        <v>1.5729955044999882</v>
      </c>
      <c r="U33" s="19"/>
    </row>
    <row r="34" spans="1:23" x14ac:dyDescent="0.35">
      <c r="A34" s="31"/>
      <c r="B34" s="32"/>
      <c r="C34" s="33"/>
      <c r="D34" s="31"/>
      <c r="J34" s="56">
        <v>25</v>
      </c>
      <c r="K34" s="115">
        <f t="shared" ref="K34" si="7">J34/2</f>
        <v>12.5</v>
      </c>
      <c r="L34" s="115"/>
      <c r="M34" s="116">
        <v>8.0500000000000007</v>
      </c>
      <c r="N34" s="116"/>
      <c r="O34" s="148">
        <f t="shared" si="4"/>
        <v>13.729968944099378</v>
      </c>
      <c r="P34" s="149"/>
      <c r="Q34" s="63">
        <f t="shared" si="6"/>
        <v>1.1434951206997925</v>
      </c>
    </row>
    <row r="35" spans="1:23" x14ac:dyDescent="0.35">
      <c r="A35" s="31"/>
      <c r="B35" s="32"/>
      <c r="C35" s="33"/>
      <c r="J35" s="56">
        <v>30</v>
      </c>
      <c r="K35" s="115">
        <v>15</v>
      </c>
      <c r="L35" s="115"/>
      <c r="M35" s="116">
        <v>3.12</v>
      </c>
      <c r="N35" s="116"/>
      <c r="O35" s="148">
        <f t="shared" si="4"/>
        <v>37.617692307692309</v>
      </c>
      <c r="P35" s="149"/>
      <c r="Q35" s="63">
        <f>(0.5*3.14)+(ATAN((M35-O35)/K35))</f>
        <v>0.40935547397059624</v>
      </c>
    </row>
    <row r="36" spans="1:23" x14ac:dyDescent="0.35">
      <c r="J36" s="60"/>
      <c r="K36" s="60"/>
      <c r="L36" s="60"/>
      <c r="M36" s="61"/>
      <c r="N36" s="61"/>
      <c r="O36" s="61"/>
      <c r="P36" s="61"/>
      <c r="Q36" s="11"/>
    </row>
    <row r="37" spans="1:23" x14ac:dyDescent="0.35">
      <c r="J37" s="60"/>
      <c r="K37" s="60"/>
      <c r="L37" s="60"/>
      <c r="M37" s="61"/>
      <c r="N37" s="61"/>
      <c r="O37" s="61"/>
      <c r="P37" s="61"/>
      <c r="Q37" s="11"/>
    </row>
    <row r="38" spans="1:23" ht="15.5" x14ac:dyDescent="0.35">
      <c r="M38" s="11"/>
      <c r="N38" s="11"/>
      <c r="U38" s="95"/>
      <c r="V38" s="48"/>
    </row>
    <row r="39" spans="1:23" ht="21" x14ac:dyDescent="0.5">
      <c r="J39" s="150" t="s">
        <v>128</v>
      </c>
      <c r="K39" s="150"/>
      <c r="L39" s="150"/>
      <c r="M39" s="150"/>
      <c r="N39" s="150"/>
      <c r="O39" s="150"/>
      <c r="P39" s="150"/>
      <c r="Q39" s="150"/>
      <c r="R39" s="150"/>
      <c r="S39" s="150"/>
    </row>
    <row r="40" spans="1:23" ht="18.5" x14ac:dyDescent="0.45">
      <c r="A40" s="40" t="s">
        <v>28</v>
      </c>
      <c r="B40" s="36"/>
      <c r="C40" s="36"/>
      <c r="D40" s="36"/>
      <c r="E40" s="36"/>
      <c r="F40" s="36"/>
      <c r="G40" s="36"/>
      <c r="H40" s="36"/>
      <c r="J40" s="20" t="s">
        <v>1</v>
      </c>
      <c r="K40" s="118" t="s">
        <v>9</v>
      </c>
      <c r="L40" s="119"/>
      <c r="M40" s="126" t="s">
        <v>10</v>
      </c>
      <c r="N40" s="126"/>
      <c r="O40" s="151" t="s">
        <v>90</v>
      </c>
      <c r="P40" s="152"/>
      <c r="Q40" s="64" t="s">
        <v>27</v>
      </c>
      <c r="R40" s="65" t="s">
        <v>31</v>
      </c>
      <c r="S40" s="41" t="s">
        <v>30</v>
      </c>
      <c r="U40" s="18" t="s">
        <v>8</v>
      </c>
    </row>
    <row r="41" spans="1:23" x14ac:dyDescent="0.35">
      <c r="J41" s="56">
        <v>5</v>
      </c>
      <c r="K41" s="115">
        <f t="shared" ref="K41:K43" si="8">J41/2</f>
        <v>2.5</v>
      </c>
      <c r="L41" s="115"/>
      <c r="M41" s="116">
        <v>14.57</v>
      </c>
      <c r="N41" s="116"/>
      <c r="O41" s="145">
        <f t="shared" ref="O41:O51" si="9">((K41^2)+(M41^2))/(2*M41)</f>
        <v>7.4994818119423483</v>
      </c>
      <c r="P41" s="153"/>
      <c r="Q41" s="63">
        <f t="shared" ref="Q41:Q43" si="10">(0.5*3.14)+(ATAN((M41-O41)/K41))</f>
        <v>2.8009349879281098</v>
      </c>
      <c r="R41" s="15">
        <f>W42</f>
        <v>0.60960000000000003</v>
      </c>
      <c r="S41" s="63">
        <f>(R41/(3*M41))*((K41*((3*(O41^2))-(K41^2)))+((3*(O41^2))*(M41-O41)*Q41))</f>
        <v>52.266684855559447</v>
      </c>
      <c r="U41" s="17" t="s">
        <v>34</v>
      </c>
      <c r="V41" s="17" t="s">
        <v>35</v>
      </c>
      <c r="W41" s="17" t="s">
        <v>6</v>
      </c>
    </row>
    <row r="42" spans="1:23" ht="18.5" x14ac:dyDescent="0.45">
      <c r="J42" s="67" t="s">
        <v>97</v>
      </c>
      <c r="K42" s="129"/>
      <c r="L42" s="130"/>
      <c r="M42" s="131"/>
      <c r="N42" s="132"/>
      <c r="O42" s="69"/>
      <c r="P42" s="70"/>
      <c r="Q42" s="63"/>
      <c r="R42" s="15"/>
      <c r="S42" s="63">
        <f>(S41+S43)/2</f>
        <v>51.669946030917174</v>
      </c>
      <c r="U42" s="71">
        <v>2</v>
      </c>
      <c r="V42" s="59">
        <f>IF(U42&gt;11.9,12,U42)</f>
        <v>2</v>
      </c>
      <c r="W42" s="16">
        <f>CONVERT(V42,"ft","m")</f>
        <v>0.60960000000000003</v>
      </c>
    </row>
    <row r="43" spans="1:23" x14ac:dyDescent="0.35">
      <c r="J43" s="56">
        <v>10</v>
      </c>
      <c r="K43" s="115">
        <f t="shared" si="8"/>
        <v>5</v>
      </c>
      <c r="L43" s="115"/>
      <c r="M43" s="116">
        <v>13.8</v>
      </c>
      <c r="N43" s="116"/>
      <c r="O43" s="145">
        <f t="shared" si="9"/>
        <v>7.8057971014492757</v>
      </c>
      <c r="P43" s="153"/>
      <c r="Q43" s="63">
        <f t="shared" si="10"/>
        <v>2.4455826072830931</v>
      </c>
      <c r="R43" s="15">
        <f>W42</f>
        <v>0.60960000000000003</v>
      </c>
      <c r="S43" s="63">
        <f t="shared" ref="S43:S51" si="11">(R43/(3*M43))*((K43*((3*(O43^2))-(K43^2)))+((3*(O43^2))*(M43-O43)*Q43))</f>
        <v>51.073207206274901</v>
      </c>
    </row>
    <row r="44" spans="1:23" x14ac:dyDescent="0.35">
      <c r="J44" s="67" t="s">
        <v>98</v>
      </c>
      <c r="K44" s="129"/>
      <c r="L44" s="130"/>
      <c r="M44" s="131"/>
      <c r="N44" s="132"/>
      <c r="O44" s="69"/>
      <c r="P44" s="70"/>
      <c r="Q44" s="63"/>
      <c r="R44" s="15"/>
      <c r="S44" s="63">
        <f>(S43+S45)/2</f>
        <v>50.494949488463597</v>
      </c>
    </row>
    <row r="45" spans="1:23" x14ac:dyDescent="0.35">
      <c r="J45" s="56">
        <v>15</v>
      </c>
      <c r="K45" s="116">
        <f>J45/2</f>
        <v>7.5</v>
      </c>
      <c r="L45" s="116"/>
      <c r="M45" s="116">
        <v>12.71</v>
      </c>
      <c r="N45" s="116"/>
      <c r="O45" s="145">
        <f t="shared" si="9"/>
        <v>8.5678245476003152</v>
      </c>
      <c r="P45" s="153"/>
      <c r="Q45" s="63">
        <f>(0.5*3.14)+(ATAN((M45-O45)/K45))</f>
        <v>2.0745997142603438</v>
      </c>
      <c r="R45" s="15">
        <f>W42</f>
        <v>0.60960000000000003</v>
      </c>
      <c r="S45" s="63">
        <f t="shared" si="11"/>
        <v>49.916691770652292</v>
      </c>
      <c r="U45" s="3" t="s">
        <v>93</v>
      </c>
    </row>
    <row r="46" spans="1:23" x14ac:dyDescent="0.35">
      <c r="J46" s="67" t="s">
        <v>99</v>
      </c>
      <c r="K46" s="129"/>
      <c r="L46" s="130"/>
      <c r="M46" s="131"/>
      <c r="N46" s="132"/>
      <c r="O46" s="69"/>
      <c r="P46" s="70"/>
      <c r="Q46" s="63"/>
      <c r="R46" s="15"/>
      <c r="S46" s="63">
        <f>(S45+S47)/2</f>
        <v>45.361032217346605</v>
      </c>
    </row>
    <row r="47" spans="1:23" x14ac:dyDescent="0.35">
      <c r="J47" s="57">
        <v>20</v>
      </c>
      <c r="K47" s="116">
        <v>10</v>
      </c>
      <c r="L47" s="116"/>
      <c r="M47" s="116">
        <v>10.029999999999999</v>
      </c>
      <c r="N47" s="116"/>
      <c r="O47" s="145">
        <f t="shared" si="9"/>
        <v>10.000044865403787</v>
      </c>
      <c r="P47" s="153"/>
      <c r="Q47" s="63">
        <f t="shared" ref="Q47:Q49" si="12">(0.5*3.14)+(ATAN((M47-O47)/K47))</f>
        <v>1.5729955044999882</v>
      </c>
      <c r="R47" s="15">
        <f>W42</f>
        <v>0.60960000000000003</v>
      </c>
      <c r="S47" s="63">
        <f t="shared" si="11"/>
        <v>40.805372664040917</v>
      </c>
    </row>
    <row r="48" spans="1:23" x14ac:dyDescent="0.35">
      <c r="J48" s="68" t="s">
        <v>100</v>
      </c>
      <c r="K48" s="129"/>
      <c r="L48" s="130"/>
      <c r="M48" s="131"/>
      <c r="N48" s="132"/>
      <c r="O48" s="69"/>
      <c r="P48" s="70"/>
      <c r="Q48" s="63"/>
      <c r="R48" s="15"/>
      <c r="S48" s="63">
        <f>(S47+S49)/2</f>
        <v>38.613824285031043</v>
      </c>
    </row>
    <row r="49" spans="10:19" x14ac:dyDescent="0.35">
      <c r="J49" s="56">
        <v>25</v>
      </c>
      <c r="K49" s="115">
        <f t="shared" ref="K49" si="13">J49/2</f>
        <v>12.5</v>
      </c>
      <c r="L49" s="115"/>
      <c r="M49" s="116">
        <v>8.0500000000000007</v>
      </c>
      <c r="N49" s="116"/>
      <c r="O49" s="145">
        <f t="shared" si="9"/>
        <v>13.729968944099378</v>
      </c>
      <c r="P49" s="153"/>
      <c r="Q49" s="63">
        <f t="shared" si="12"/>
        <v>1.1434951206997925</v>
      </c>
      <c r="R49" s="15">
        <f>W42</f>
        <v>0.60960000000000003</v>
      </c>
      <c r="S49" s="63">
        <f t="shared" si="11"/>
        <v>36.422275906021177</v>
      </c>
    </row>
    <row r="50" spans="10:19" x14ac:dyDescent="0.35">
      <c r="J50" s="67" t="s">
        <v>101</v>
      </c>
      <c r="K50" s="129"/>
      <c r="L50" s="130"/>
      <c r="M50" s="131"/>
      <c r="N50" s="132"/>
      <c r="O50" s="69"/>
      <c r="P50" s="70"/>
      <c r="Q50" s="63"/>
      <c r="R50" s="15"/>
      <c r="S50" s="63">
        <f>(S49+S51)/2</f>
        <v>29.710066615005605</v>
      </c>
    </row>
    <row r="51" spans="10:19" x14ac:dyDescent="0.35">
      <c r="J51" s="56">
        <v>30</v>
      </c>
      <c r="K51" s="115">
        <v>15</v>
      </c>
      <c r="L51" s="115"/>
      <c r="M51" s="116">
        <v>3.12</v>
      </c>
      <c r="N51" s="116"/>
      <c r="O51" s="145">
        <f t="shared" si="9"/>
        <v>37.617692307692309</v>
      </c>
      <c r="P51" s="153"/>
      <c r="Q51" s="63">
        <f>(0.5*3.14)+(ATAN((M51-O51)/K51))</f>
        <v>0.40935547397059624</v>
      </c>
      <c r="R51" s="15">
        <f>W42</f>
        <v>0.60960000000000003</v>
      </c>
      <c r="S51" s="63">
        <f t="shared" si="11"/>
        <v>22.997857323990033</v>
      </c>
    </row>
    <row r="52" spans="10:19" x14ac:dyDescent="0.35">
      <c r="J52" t="s">
        <v>102</v>
      </c>
      <c r="M52" s="11"/>
      <c r="N52" s="11"/>
      <c r="R52" s="66" t="s">
        <v>32</v>
      </c>
      <c r="S52" s="63">
        <f>AVERAGE(S41,S43,S45,S45,S47,S49,S51)</f>
        <v>43.342683071027295</v>
      </c>
    </row>
    <row r="53" spans="10:19" x14ac:dyDescent="0.35">
      <c r="M53" s="11"/>
      <c r="N53" s="11"/>
    </row>
    <row r="54" spans="10:19" x14ac:dyDescent="0.35">
      <c r="M54" s="11"/>
      <c r="N54" s="11"/>
    </row>
  </sheetData>
  <mergeCells count="82">
    <mergeCell ref="O45:P45"/>
    <mergeCell ref="O41:P41"/>
    <mergeCell ref="A30:B30"/>
    <mergeCell ref="K51:L51"/>
    <mergeCell ref="M51:N51"/>
    <mergeCell ref="O51:P51"/>
    <mergeCell ref="K47:L47"/>
    <mergeCell ref="M47:N47"/>
    <mergeCell ref="O47:P47"/>
    <mergeCell ref="K49:L49"/>
    <mergeCell ref="M49:N49"/>
    <mergeCell ref="O49:P49"/>
    <mergeCell ref="K43:L43"/>
    <mergeCell ref="M43:N43"/>
    <mergeCell ref="O43:P43"/>
    <mergeCell ref="K45:L45"/>
    <mergeCell ref="J39:S39"/>
    <mergeCell ref="K40:L40"/>
    <mergeCell ref="M40:N40"/>
    <mergeCell ref="O40:P40"/>
    <mergeCell ref="K41:L41"/>
    <mergeCell ref="M41:N41"/>
    <mergeCell ref="K34:L34"/>
    <mergeCell ref="M34:N34"/>
    <mergeCell ref="O34:P34"/>
    <mergeCell ref="K35:L35"/>
    <mergeCell ref="M35:N35"/>
    <mergeCell ref="O35:P35"/>
    <mergeCell ref="K32:L32"/>
    <mergeCell ref="M32:N32"/>
    <mergeCell ref="O32:P32"/>
    <mergeCell ref="K33:L33"/>
    <mergeCell ref="M33:N33"/>
    <mergeCell ref="O33:P33"/>
    <mergeCell ref="K30:L30"/>
    <mergeCell ref="M30:N30"/>
    <mergeCell ref="O30:P30"/>
    <mergeCell ref="K31:L31"/>
    <mergeCell ref="M31:N31"/>
    <mergeCell ref="O31:P31"/>
    <mergeCell ref="K29:L29"/>
    <mergeCell ref="M29:N29"/>
    <mergeCell ref="O29:P29"/>
    <mergeCell ref="K24:L24"/>
    <mergeCell ref="M24:N24"/>
    <mergeCell ref="O24:P24"/>
    <mergeCell ref="Q24:R24"/>
    <mergeCell ref="K22:L22"/>
    <mergeCell ref="M22:N22"/>
    <mergeCell ref="O22:P22"/>
    <mergeCell ref="Q22:R22"/>
    <mergeCell ref="K23:L23"/>
    <mergeCell ref="M23:N23"/>
    <mergeCell ref="O23:P23"/>
    <mergeCell ref="Q23:R23"/>
    <mergeCell ref="K20:L20"/>
    <mergeCell ref="M20:N20"/>
    <mergeCell ref="O20:P20"/>
    <mergeCell ref="Q20:R20"/>
    <mergeCell ref="K21:L21"/>
    <mergeCell ref="M21:N21"/>
    <mergeCell ref="O21:P21"/>
    <mergeCell ref="Q21:R21"/>
    <mergeCell ref="K18:L18"/>
    <mergeCell ref="M18:N18"/>
    <mergeCell ref="O18:P18"/>
    <mergeCell ref="Q18:R18"/>
    <mergeCell ref="K19:L19"/>
    <mergeCell ref="M19:N19"/>
    <mergeCell ref="O19:P19"/>
    <mergeCell ref="Q19:R19"/>
    <mergeCell ref="K48:L48"/>
    <mergeCell ref="M48:N48"/>
    <mergeCell ref="K50:L50"/>
    <mergeCell ref="M50:N50"/>
    <mergeCell ref="K42:L42"/>
    <mergeCell ref="M42:N42"/>
    <mergeCell ref="K44:L44"/>
    <mergeCell ref="M44:N44"/>
    <mergeCell ref="K46:L46"/>
    <mergeCell ref="M46:N46"/>
    <mergeCell ref="M45:N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1A43-95E3-4741-88DA-0006D9FBE6C0}">
  <dimension ref="A1:R16"/>
  <sheetViews>
    <sheetView workbookViewId="0">
      <selection activeCell="N3" sqref="N3"/>
    </sheetView>
  </sheetViews>
  <sheetFormatPr defaultRowHeight="14.5" x14ac:dyDescent="0.35"/>
  <cols>
    <col min="1" max="1" width="11.1796875" customWidth="1"/>
    <col min="2" max="2" width="11.54296875" customWidth="1"/>
    <col min="3" max="3" width="11.26953125" customWidth="1"/>
    <col min="4" max="4" width="10.7265625" customWidth="1"/>
    <col min="11" max="11" width="10.26953125" customWidth="1"/>
    <col min="12" max="12" width="12.453125" bestFit="1" customWidth="1"/>
    <col min="13" max="13" width="10.26953125" customWidth="1"/>
    <col min="15" max="15" width="12.81640625" bestFit="1" customWidth="1"/>
    <col min="18" max="18" width="12.81640625" bestFit="1" customWidth="1"/>
  </cols>
  <sheetData>
    <row r="1" spans="1:18" ht="18.5" x14ac:dyDescent="0.45">
      <c r="A1" s="155" t="s">
        <v>134</v>
      </c>
      <c r="B1" s="156"/>
      <c r="C1" s="156"/>
      <c r="D1" s="156"/>
      <c r="E1" s="156"/>
      <c r="F1" s="156"/>
      <c r="G1" s="156"/>
      <c r="H1" s="157"/>
      <c r="K1" s="155" t="s">
        <v>135</v>
      </c>
      <c r="L1" s="156"/>
      <c r="M1" s="156"/>
      <c r="N1" s="156"/>
      <c r="O1" s="156"/>
      <c r="P1" s="156"/>
      <c r="Q1" s="156"/>
      <c r="R1" s="157"/>
    </row>
    <row r="2" spans="1:18" x14ac:dyDescent="0.35">
      <c r="A2" s="97" t="s">
        <v>125</v>
      </c>
      <c r="B2" s="60" t="s">
        <v>126</v>
      </c>
      <c r="C2" s="60" t="s">
        <v>67</v>
      </c>
      <c r="D2" s="60" t="s">
        <v>131</v>
      </c>
      <c r="E2" s="75"/>
      <c r="F2" s="75"/>
      <c r="G2" s="75"/>
      <c r="H2" s="91"/>
      <c r="K2" s="97" t="s">
        <v>125</v>
      </c>
      <c r="L2" s="60" t="s">
        <v>126</v>
      </c>
      <c r="M2" s="60" t="s">
        <v>65</v>
      </c>
      <c r="N2" s="110" t="s">
        <v>67</v>
      </c>
      <c r="O2" s="60" t="s">
        <v>136</v>
      </c>
      <c r="R2" s="112"/>
    </row>
    <row r="3" spans="1:18" x14ac:dyDescent="0.35">
      <c r="A3" s="97">
        <v>13.8</v>
      </c>
      <c r="B3" s="60">
        <v>12.3</v>
      </c>
      <c r="C3" s="60">
        <v>1.6</v>
      </c>
      <c r="D3" s="101">
        <f>((4/3)*3.14*A3*B3*C3)/4</f>
        <v>284.25792000000001</v>
      </c>
      <c r="E3" s="75"/>
      <c r="F3" s="75"/>
      <c r="G3" s="75"/>
      <c r="H3" s="91"/>
      <c r="K3" s="97">
        <v>13.8</v>
      </c>
      <c r="L3" s="60">
        <v>12.3</v>
      </c>
      <c r="M3" s="109">
        <v>5.4</v>
      </c>
      <c r="N3" s="111">
        <f>CONVERT(M3,"ft","m")</f>
        <v>1.6459200000000003</v>
      </c>
      <c r="O3" s="1">
        <f>K3*L3*N3*0.5</f>
        <v>139.68923040000004</v>
      </c>
      <c r="R3" s="112"/>
    </row>
    <row r="4" spans="1:18" x14ac:dyDescent="0.35">
      <c r="A4" s="108" t="s">
        <v>133</v>
      </c>
      <c r="B4" s="75"/>
      <c r="C4" s="75"/>
      <c r="D4" s="75"/>
      <c r="E4" s="75"/>
      <c r="F4" s="75"/>
      <c r="G4" s="75"/>
      <c r="H4" s="91"/>
      <c r="K4" s="88"/>
      <c r="L4" s="75"/>
      <c r="M4" s="75"/>
      <c r="N4" s="75"/>
      <c r="O4" s="75"/>
      <c r="P4" s="75"/>
      <c r="Q4" s="75"/>
      <c r="R4" s="91"/>
    </row>
    <row r="5" spans="1:18" x14ac:dyDescent="0.35">
      <c r="A5" s="88"/>
      <c r="B5" s="75"/>
      <c r="C5" s="75"/>
      <c r="D5" s="75"/>
      <c r="E5" s="75"/>
      <c r="F5" s="75"/>
      <c r="G5" s="75"/>
      <c r="H5" s="91"/>
      <c r="K5" s="88"/>
      <c r="L5" s="75"/>
      <c r="M5" s="75"/>
      <c r="N5" s="75"/>
      <c r="O5" s="75"/>
      <c r="P5" s="75"/>
      <c r="Q5" s="75"/>
      <c r="R5" s="91"/>
    </row>
    <row r="6" spans="1:18" x14ac:dyDescent="0.35">
      <c r="A6" s="88"/>
      <c r="B6" s="75"/>
      <c r="C6" s="75"/>
      <c r="D6" s="75"/>
      <c r="E6" s="75"/>
      <c r="F6" s="75"/>
      <c r="G6" s="75"/>
      <c r="H6" s="91"/>
      <c r="K6" s="88"/>
      <c r="L6" s="75"/>
      <c r="M6" s="75"/>
      <c r="N6" s="75"/>
      <c r="O6" s="75"/>
      <c r="P6" s="75"/>
      <c r="Q6" s="75"/>
      <c r="R6" s="91"/>
    </row>
    <row r="7" spans="1:18" x14ac:dyDescent="0.35">
      <c r="A7" s="88"/>
      <c r="B7" s="75"/>
      <c r="C7" s="75"/>
      <c r="D7" s="75"/>
      <c r="E7" s="75"/>
      <c r="F7" s="75"/>
      <c r="G7" s="75"/>
      <c r="H7" s="91"/>
      <c r="K7" s="88"/>
      <c r="L7" s="75"/>
      <c r="M7" s="75"/>
      <c r="N7" s="75"/>
      <c r="O7" s="75"/>
      <c r="P7" s="75"/>
      <c r="Q7" s="75"/>
      <c r="R7" s="91"/>
    </row>
    <row r="8" spans="1:18" x14ac:dyDescent="0.35">
      <c r="A8" s="88"/>
      <c r="B8" s="75"/>
      <c r="C8" s="75"/>
      <c r="D8" s="75"/>
      <c r="E8" s="75"/>
      <c r="F8" s="75"/>
      <c r="G8" s="75"/>
      <c r="H8" s="91"/>
      <c r="K8" s="88"/>
      <c r="L8" s="75"/>
      <c r="M8" s="75"/>
      <c r="N8" s="75"/>
      <c r="O8" s="75"/>
      <c r="P8" s="75"/>
      <c r="Q8" s="75"/>
      <c r="R8" s="91"/>
    </row>
    <row r="9" spans="1:18" x14ac:dyDescent="0.35">
      <c r="A9" s="88"/>
      <c r="B9" s="75"/>
      <c r="C9" s="75"/>
      <c r="D9" s="75"/>
      <c r="E9" s="75"/>
      <c r="F9" s="75"/>
      <c r="G9" s="75"/>
      <c r="H9" s="91"/>
      <c r="K9" s="88"/>
      <c r="L9" s="75"/>
      <c r="M9" s="75"/>
      <c r="N9" s="75"/>
      <c r="O9" s="75"/>
      <c r="P9" s="75"/>
      <c r="Q9" s="75"/>
      <c r="R9" s="91"/>
    </row>
    <row r="10" spans="1:18" x14ac:dyDescent="0.35">
      <c r="A10" s="88"/>
      <c r="B10" s="75"/>
      <c r="C10" s="75"/>
      <c r="D10" s="75"/>
      <c r="E10" s="75"/>
      <c r="F10" s="75"/>
      <c r="G10" s="75"/>
      <c r="H10" s="91"/>
      <c r="K10" s="88"/>
      <c r="L10" s="75"/>
      <c r="M10" s="75"/>
      <c r="N10" s="75"/>
      <c r="O10" s="75"/>
      <c r="P10" s="75"/>
      <c r="Q10" s="75"/>
      <c r="R10" s="91"/>
    </row>
    <row r="11" spans="1:18" x14ac:dyDescent="0.35">
      <c r="A11" s="88"/>
      <c r="B11" s="75"/>
      <c r="C11" s="75"/>
      <c r="D11" s="75"/>
      <c r="E11" s="75"/>
      <c r="F11" s="75"/>
      <c r="G11" s="75"/>
      <c r="H11" s="91"/>
      <c r="K11" s="88"/>
      <c r="L11" s="75"/>
      <c r="M11" s="75"/>
      <c r="N11" s="75"/>
      <c r="O11" s="75"/>
      <c r="P11" s="75"/>
      <c r="Q11" s="75"/>
      <c r="R11" s="91"/>
    </row>
    <row r="12" spans="1:18" x14ac:dyDescent="0.35">
      <c r="A12" s="88"/>
      <c r="B12" s="75"/>
      <c r="C12" s="75"/>
      <c r="D12" s="75"/>
      <c r="E12" s="75"/>
      <c r="F12" s="75"/>
      <c r="G12" s="75"/>
      <c r="H12" s="91"/>
      <c r="K12" s="88"/>
      <c r="L12" s="75"/>
      <c r="M12" s="75"/>
      <c r="N12" s="75"/>
      <c r="O12" s="75"/>
      <c r="P12" s="75"/>
      <c r="Q12" s="75"/>
      <c r="R12" s="91"/>
    </row>
    <row r="13" spans="1:18" x14ac:dyDescent="0.35">
      <c r="A13" s="88"/>
      <c r="B13" s="75"/>
      <c r="C13" s="75"/>
      <c r="D13" s="75"/>
      <c r="E13" s="75"/>
      <c r="F13" s="75"/>
      <c r="G13" s="75"/>
      <c r="H13" s="91"/>
      <c r="K13" s="88"/>
      <c r="L13" s="75"/>
      <c r="M13" s="75"/>
      <c r="N13" s="75"/>
      <c r="O13" s="75"/>
      <c r="P13" s="75"/>
      <c r="Q13" s="75"/>
      <c r="R13" s="91"/>
    </row>
    <row r="14" spans="1:18" x14ac:dyDescent="0.35">
      <c r="A14" s="88"/>
      <c r="B14" s="75"/>
      <c r="C14" s="75"/>
      <c r="D14" s="75"/>
      <c r="E14" s="75"/>
      <c r="F14" s="75"/>
      <c r="G14" s="75"/>
      <c r="H14" s="91"/>
      <c r="K14" s="88"/>
      <c r="L14" s="75"/>
      <c r="M14" s="75"/>
      <c r="N14" s="75"/>
      <c r="O14" s="75"/>
      <c r="P14" s="75"/>
      <c r="Q14" s="75"/>
      <c r="R14" s="91"/>
    </row>
    <row r="15" spans="1:18" x14ac:dyDescent="0.35">
      <c r="A15" s="88"/>
      <c r="B15" s="75"/>
      <c r="C15" s="75"/>
      <c r="D15" s="75"/>
      <c r="E15" s="75"/>
      <c r="F15" s="75"/>
      <c r="G15" s="75"/>
      <c r="H15" s="91"/>
      <c r="K15" s="88"/>
      <c r="L15" s="75"/>
      <c r="M15" s="75"/>
      <c r="N15" s="75"/>
      <c r="O15" s="75"/>
      <c r="P15" s="75"/>
      <c r="Q15" s="75"/>
      <c r="R15" s="91"/>
    </row>
    <row r="16" spans="1:18" ht="15" thickBot="1" x14ac:dyDescent="0.4">
      <c r="A16" s="92"/>
      <c r="B16" s="93"/>
      <c r="C16" s="93"/>
      <c r="D16" s="93"/>
      <c r="E16" s="93"/>
      <c r="F16" s="93"/>
      <c r="G16" s="93"/>
      <c r="H16" s="94"/>
      <c r="K16" s="92"/>
      <c r="L16" s="93"/>
      <c r="M16" s="93"/>
      <c r="N16" s="93"/>
      <c r="O16" s="93"/>
      <c r="P16" s="93"/>
      <c r="Q16" s="93"/>
      <c r="R16" s="94"/>
    </row>
  </sheetData>
  <mergeCells count="2">
    <mergeCell ref="A1:H1"/>
    <mergeCell ref="K1:R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zoomScale="85" zoomScaleNormal="85" workbookViewId="0">
      <selection activeCell="D45" sqref="D45"/>
    </sheetView>
  </sheetViews>
  <sheetFormatPr defaultRowHeight="14.5" x14ac:dyDescent="0.35"/>
  <cols>
    <col min="1" max="1" width="24.54296875" customWidth="1"/>
    <col min="2" max="2" width="21.453125" customWidth="1"/>
    <col min="3" max="3" width="31" bestFit="1" customWidth="1"/>
    <col min="4" max="4" width="15.453125" customWidth="1"/>
    <col min="6" max="6" width="10" bestFit="1" customWidth="1"/>
    <col min="7" max="7" width="9.54296875" customWidth="1"/>
    <col min="8" max="8" width="19.81640625" customWidth="1"/>
    <col min="9" max="9" width="11" customWidth="1"/>
    <col min="10" max="10" width="12.453125" customWidth="1"/>
    <col min="11" max="11" width="16.453125" bestFit="1" customWidth="1"/>
    <col min="12" max="12" width="19.54296875" bestFit="1" customWidth="1"/>
    <col min="13" max="13" width="21.1796875" bestFit="1" customWidth="1"/>
    <col min="14" max="14" width="21" bestFit="1" customWidth="1"/>
    <col min="16" max="16" width="17.54296875" bestFit="1" customWidth="1"/>
    <col min="17" max="17" width="15.54296875" customWidth="1"/>
    <col min="18" max="18" width="20.453125" bestFit="1" customWidth="1"/>
    <col min="19" max="19" width="21" bestFit="1" customWidth="1"/>
  </cols>
  <sheetData>
    <row r="1" spans="1:15" x14ac:dyDescent="0.35">
      <c r="A1" s="3" t="s">
        <v>72</v>
      </c>
    </row>
    <row r="3" spans="1:15" x14ac:dyDescent="0.35">
      <c r="A3" s="51" t="s">
        <v>54</v>
      </c>
      <c r="B3" s="1">
        <v>36.5</v>
      </c>
      <c r="C3" s="51" t="s">
        <v>57</v>
      </c>
      <c r="D3" s="1">
        <v>3.7</v>
      </c>
      <c r="H3" s="51" t="s">
        <v>64</v>
      </c>
    </row>
    <row r="4" spans="1:15" x14ac:dyDescent="0.35">
      <c r="A4" s="51" t="s">
        <v>55</v>
      </c>
      <c r="B4" s="52">
        <v>36.299999999999997</v>
      </c>
      <c r="C4" s="51" t="s">
        <v>58</v>
      </c>
      <c r="D4" s="52">
        <v>3.6</v>
      </c>
      <c r="I4" s="53">
        <f>3.14159*(5.8^2)*3.8</f>
        <v>401.59573287999996</v>
      </c>
    </row>
    <row r="5" spans="1:15" x14ac:dyDescent="0.35">
      <c r="A5" s="51" t="s">
        <v>56</v>
      </c>
      <c r="B5" s="1">
        <v>36.4</v>
      </c>
      <c r="C5" s="51" t="s">
        <v>59</v>
      </c>
      <c r="D5" s="1">
        <v>3.65</v>
      </c>
      <c r="I5" s="53"/>
    </row>
    <row r="6" spans="1:15" x14ac:dyDescent="0.35">
      <c r="I6" s="51" t="s">
        <v>69</v>
      </c>
    </row>
    <row r="7" spans="1:15" x14ac:dyDescent="0.35">
      <c r="A7" s="51" t="s">
        <v>60</v>
      </c>
      <c r="B7" s="1">
        <v>36.4</v>
      </c>
      <c r="I7" s="51" t="s">
        <v>70</v>
      </c>
    </row>
    <row r="8" spans="1:15" x14ac:dyDescent="0.35">
      <c r="A8" s="51" t="s">
        <v>63</v>
      </c>
      <c r="B8" s="1">
        <v>11.6</v>
      </c>
      <c r="C8" s="53" t="s">
        <v>62</v>
      </c>
    </row>
    <row r="9" spans="1:15" x14ac:dyDescent="0.35">
      <c r="A9" s="51" t="s">
        <v>61</v>
      </c>
      <c r="B9" s="1">
        <v>5.8</v>
      </c>
    </row>
    <row r="11" spans="1:15" x14ac:dyDescent="0.35">
      <c r="A11" s="51" t="s">
        <v>124</v>
      </c>
      <c r="B11" s="1">
        <f>3.14*(5.8^2)</f>
        <v>105.62960000000001</v>
      </c>
    </row>
    <row r="13" spans="1:15" ht="26" x14ac:dyDescent="0.6">
      <c r="A13" s="158" t="s">
        <v>129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</row>
    <row r="14" spans="1:15" x14ac:dyDescent="0.35">
      <c r="A14" t="s">
        <v>67</v>
      </c>
      <c r="B14" t="s">
        <v>65</v>
      </c>
      <c r="C14" s="1" t="s">
        <v>68</v>
      </c>
      <c r="D14" s="1" t="s">
        <v>75</v>
      </c>
      <c r="E14" s="1" t="s">
        <v>76</v>
      </c>
      <c r="F14" s="1" t="s">
        <v>77</v>
      </c>
      <c r="G14" s="1" t="s">
        <v>78</v>
      </c>
      <c r="H14" s="1" t="s">
        <v>79</v>
      </c>
      <c r="I14" s="1" t="s">
        <v>80</v>
      </c>
      <c r="J14" s="1" t="s">
        <v>81</v>
      </c>
      <c r="K14" s="1" t="s">
        <v>86</v>
      </c>
      <c r="L14" s="1" t="s">
        <v>84</v>
      </c>
      <c r="M14" s="1" t="s">
        <v>82</v>
      </c>
      <c r="N14" s="72" t="s">
        <v>83</v>
      </c>
      <c r="O14" t="s">
        <v>65</v>
      </c>
    </row>
    <row r="15" spans="1:15" x14ac:dyDescent="0.35">
      <c r="A15" s="46">
        <v>0.3</v>
      </c>
      <c r="B15" s="1">
        <v>1</v>
      </c>
      <c r="C15" s="1">
        <v>35.85</v>
      </c>
      <c r="D15" s="1">
        <f>36.4-C15</f>
        <v>0.54999999999999716</v>
      </c>
      <c r="E15" s="55">
        <f>(360)*((D15)/(36.4425))</f>
        <v>5.4332167112574323</v>
      </c>
      <c r="F15" s="55">
        <f>E15/2</f>
        <v>2.7166083556287162</v>
      </c>
      <c r="G15" s="55">
        <f>SIN(F15*PI()/180)</f>
        <v>4.73959974231059E-2</v>
      </c>
      <c r="H15" s="55">
        <f>11.6*(G15)</f>
        <v>0.54979357010802843</v>
      </c>
      <c r="I15" s="55">
        <f>H15/2</f>
        <v>0.27489678505401421</v>
      </c>
      <c r="J15" s="55">
        <f>(11.6-(((11.6^2)-(4*(I15^2)))^0.5))/2</f>
        <v>6.5181662866180545E-3</v>
      </c>
      <c r="K15" s="55">
        <f>ASIN(I15/5.8)</f>
        <v>4.7413760292910126E-2</v>
      </c>
      <c r="L15" s="55">
        <f>(((A15)/(3*(J15)))*(((I15)*(100.92-(I15^2)))+(100.92*((J15)-5.8)*(K15))))</f>
        <v>2.8673772170728564E-4</v>
      </c>
      <c r="M15" s="55">
        <f>3.14159*(5.8^2)*(A15)</f>
        <v>31.704926279999995</v>
      </c>
      <c r="N15" s="54">
        <f>(M15)-(L15)</f>
        <v>31.704639542278287</v>
      </c>
      <c r="O15" s="1">
        <v>1</v>
      </c>
    </row>
    <row r="16" spans="1:15" x14ac:dyDescent="0.35">
      <c r="A16" s="46">
        <f t="shared" ref="A16:A24" si="0" xml:space="preserve"> CONVERT(B16,"ft","m")</f>
        <v>0.60960000000000003</v>
      </c>
      <c r="B16" s="1">
        <v>2</v>
      </c>
      <c r="C16" s="1">
        <f>C17+1.65</f>
        <v>34.799999999999997</v>
      </c>
      <c r="D16" s="1">
        <f t="shared" ref="D16:D26" si="1">36.4-C16</f>
        <v>1.6000000000000014</v>
      </c>
      <c r="E16" s="55">
        <f t="shared" ref="E16:E26" si="2">(360)*((D16)/(36.4425))</f>
        <v>15.805721341839897</v>
      </c>
      <c r="F16" s="55">
        <f t="shared" ref="F16:F26" si="3">E16/2</f>
        <v>7.9028606709199485</v>
      </c>
      <c r="G16" s="55">
        <f t="shared" ref="G16:G26" si="4">SIN(F16*PI()/180)</f>
        <v>0.13749400014746441</v>
      </c>
      <c r="H16" s="55">
        <f t="shared" ref="H16:H26" si="5">11.6*(G16)</f>
        <v>1.594930401710587</v>
      </c>
      <c r="I16" s="55">
        <f t="shared" ref="I16:I26" si="6">H16/2</f>
        <v>0.79746520085529349</v>
      </c>
      <c r="J16" s="55">
        <f t="shared" ref="J16:J26" si="7">(11.6-(((11.6^2)-(4*(I16^2)))^0.5))/2</f>
        <v>5.5084922000601999E-2</v>
      </c>
      <c r="K16" s="55">
        <f t="shared" ref="K16:K26" si="8">ASIN(I16/5.8)</f>
        <v>0.13793093903392117</v>
      </c>
      <c r="L16" s="55">
        <f t="shared" ref="L16:L26" si="9">(((A16)/(3*(J16)))*(((I16)*(100.92-(I16^2)))+(100.92*((J16)-5.8)*(K16))))</f>
        <v>1.4301425994885679E-2</v>
      </c>
      <c r="M16" s="55">
        <f t="shared" ref="M16:M26" si="10">3.14159*(5.8^2)*(A16)</f>
        <v>64.424410200959997</v>
      </c>
      <c r="N16" s="54">
        <f t="shared" ref="N16:N26" si="11">(M16)-(L16)</f>
        <v>64.41010877496511</v>
      </c>
      <c r="O16" s="1">
        <v>2</v>
      </c>
    </row>
    <row r="17" spans="1:15" x14ac:dyDescent="0.35">
      <c r="A17" s="46">
        <f t="shared" si="0"/>
        <v>0.91439999999999999</v>
      </c>
      <c r="B17" s="1">
        <v>3</v>
      </c>
      <c r="C17" s="1">
        <f>C21+(2.4*2)</f>
        <v>33.15</v>
      </c>
      <c r="D17" s="1">
        <f t="shared" si="1"/>
        <v>3.25</v>
      </c>
      <c r="E17" s="55">
        <f t="shared" si="2"/>
        <v>32.105371475612266</v>
      </c>
      <c r="F17" s="55">
        <f t="shared" si="3"/>
        <v>16.052685737806133</v>
      </c>
      <c r="G17" s="55">
        <f t="shared" si="4"/>
        <v>0.27652115734862276</v>
      </c>
      <c r="H17" s="55">
        <f t="shared" si="5"/>
        <v>3.2076454252440239</v>
      </c>
      <c r="I17" s="55">
        <f t="shared" si="6"/>
        <v>1.6038227126220119</v>
      </c>
      <c r="J17" s="55">
        <f t="shared" si="7"/>
        <v>0.22615458534435362</v>
      </c>
      <c r="K17" s="55">
        <f t="shared" si="8"/>
        <v>0.28017221991265218</v>
      </c>
      <c r="L17" s="55">
        <f t="shared" si="9"/>
        <v>0.17788892277067073</v>
      </c>
      <c r="M17" s="55">
        <f t="shared" si="10"/>
        <v>96.636615301439988</v>
      </c>
      <c r="N17" s="54">
        <f t="shared" si="11"/>
        <v>96.458726378669311</v>
      </c>
      <c r="O17" s="1">
        <v>3</v>
      </c>
    </row>
    <row r="18" spans="1:15" x14ac:dyDescent="0.35">
      <c r="A18" s="46">
        <f t="shared" si="0"/>
        <v>1.2192000000000001</v>
      </c>
      <c r="B18" s="1">
        <v>4</v>
      </c>
      <c r="C18" s="1">
        <v>31.95</v>
      </c>
      <c r="D18" s="1">
        <f t="shared" si="1"/>
        <v>4.4499999999999993</v>
      </c>
      <c r="E18" s="55">
        <f t="shared" si="2"/>
        <v>43.959662481992169</v>
      </c>
      <c r="F18" s="55">
        <f t="shared" si="3"/>
        <v>21.979831240996084</v>
      </c>
      <c r="G18" s="55">
        <f t="shared" si="4"/>
        <v>0.37428019106530397</v>
      </c>
      <c r="H18" s="55">
        <f t="shared" si="5"/>
        <v>4.3416502163575261</v>
      </c>
      <c r="I18" s="55">
        <f t="shared" si="6"/>
        <v>2.1708251081787631</v>
      </c>
      <c r="J18" s="55">
        <f t="shared" si="7"/>
        <v>0.4215691554412766</v>
      </c>
      <c r="K18" s="55">
        <f t="shared" si="8"/>
        <v>0.38362042418809289</v>
      </c>
      <c r="L18" s="55">
        <f t="shared" si="9"/>
        <v>0.60144117569864042</v>
      </c>
      <c r="M18" s="55">
        <f t="shared" si="10"/>
        <v>128.84882040191999</v>
      </c>
      <c r="N18" s="54">
        <f t="shared" si="11"/>
        <v>128.24737922622134</v>
      </c>
      <c r="O18" s="1">
        <v>4</v>
      </c>
    </row>
    <row r="19" spans="1:15" x14ac:dyDescent="0.35">
      <c r="A19" s="46">
        <f t="shared" si="0"/>
        <v>1.524</v>
      </c>
      <c r="B19" s="1">
        <v>5</v>
      </c>
      <c r="C19" s="1">
        <f>C20+1.2</f>
        <v>30.75</v>
      </c>
      <c r="D19" s="1">
        <f t="shared" si="1"/>
        <v>5.6499999999999986</v>
      </c>
      <c r="E19" s="55">
        <f t="shared" si="2"/>
        <v>55.813953488372071</v>
      </c>
      <c r="F19" s="55">
        <f t="shared" si="3"/>
        <v>27.906976744186036</v>
      </c>
      <c r="G19" s="55">
        <f t="shared" si="4"/>
        <v>0.4680374244195859</v>
      </c>
      <c r="H19" s="55">
        <f t="shared" si="5"/>
        <v>5.4292341232671966</v>
      </c>
      <c r="I19" s="55">
        <f t="shared" si="6"/>
        <v>2.7146170616335983</v>
      </c>
      <c r="J19" s="55">
        <f t="shared" si="7"/>
        <v>0.67448985868842826</v>
      </c>
      <c r="K19" s="55">
        <f t="shared" si="8"/>
        <v>0.48706862846353366</v>
      </c>
      <c r="L19" s="55">
        <f t="shared" si="9"/>
        <v>1.5142079472776584</v>
      </c>
      <c r="M19" s="55">
        <f t="shared" si="10"/>
        <v>161.06102550239999</v>
      </c>
      <c r="N19" s="54">
        <f t="shared" si="11"/>
        <v>159.54681755512232</v>
      </c>
      <c r="O19" s="1">
        <v>5</v>
      </c>
    </row>
    <row r="20" spans="1:15" x14ac:dyDescent="0.35">
      <c r="A20" s="46">
        <f t="shared" si="0"/>
        <v>1.8288</v>
      </c>
      <c r="B20" s="1">
        <v>6</v>
      </c>
      <c r="C20" s="1">
        <f>C21+1.2</f>
        <v>29.55</v>
      </c>
      <c r="D20" s="1">
        <f t="shared" si="1"/>
        <v>6.8499999999999979</v>
      </c>
      <c r="E20" s="55">
        <f t="shared" si="2"/>
        <v>67.668244494751988</v>
      </c>
      <c r="F20" s="55">
        <f t="shared" si="3"/>
        <v>33.834122247375994</v>
      </c>
      <c r="G20" s="55">
        <f t="shared" si="4"/>
        <v>0.55679040593428319</v>
      </c>
      <c r="H20" s="55">
        <f t="shared" si="5"/>
        <v>6.4587687088376846</v>
      </c>
      <c r="I20" s="55">
        <f t="shared" si="6"/>
        <v>3.2293843544188423</v>
      </c>
      <c r="J20" s="55">
        <f t="shared" si="7"/>
        <v>0.98221246925159633</v>
      </c>
      <c r="K20" s="55">
        <f t="shared" si="8"/>
        <v>0.5905168327389746</v>
      </c>
      <c r="L20" s="55">
        <f t="shared" si="9"/>
        <v>3.1743347539512698</v>
      </c>
      <c r="M20" s="55">
        <f t="shared" si="10"/>
        <v>193.27323060287998</v>
      </c>
      <c r="N20" s="54">
        <f t="shared" si="11"/>
        <v>190.09889584892872</v>
      </c>
      <c r="O20" s="1">
        <v>6</v>
      </c>
    </row>
    <row r="21" spans="1:15" x14ac:dyDescent="0.35">
      <c r="A21" s="46">
        <f t="shared" si="0"/>
        <v>2.1335999999999999</v>
      </c>
      <c r="B21" s="1">
        <v>7</v>
      </c>
      <c r="C21" s="1">
        <v>28.35</v>
      </c>
      <c r="D21" s="1">
        <f t="shared" si="1"/>
        <v>8.0499999999999972</v>
      </c>
      <c r="E21" s="55">
        <f t="shared" si="2"/>
        <v>79.522535501131884</v>
      </c>
      <c r="F21" s="55">
        <f t="shared" si="3"/>
        <v>39.761267750565942</v>
      </c>
      <c r="G21" s="55">
        <f t="shared" si="4"/>
        <v>0.63959018954687841</v>
      </c>
      <c r="H21" s="55">
        <f t="shared" si="5"/>
        <v>7.4192461987437897</v>
      </c>
      <c r="I21" s="55">
        <f t="shared" si="6"/>
        <v>3.7096230993718948</v>
      </c>
      <c r="J21" s="55">
        <f t="shared" si="7"/>
        <v>1.341446819807298</v>
      </c>
      <c r="K21" s="55">
        <f t="shared" si="8"/>
        <v>0.69396503701441514</v>
      </c>
      <c r="L21" s="55">
        <f t="shared" si="9"/>
        <v>5.8697441873348728</v>
      </c>
      <c r="M21" s="55">
        <f t="shared" si="10"/>
        <v>225.48543570335997</v>
      </c>
      <c r="N21" s="54">
        <f t="shared" si="11"/>
        <v>219.61569151602509</v>
      </c>
      <c r="O21" s="1">
        <v>7</v>
      </c>
    </row>
    <row r="22" spans="1:15" x14ac:dyDescent="0.35">
      <c r="A22" s="46">
        <f t="shared" si="0"/>
        <v>2.4384000000000001</v>
      </c>
      <c r="B22" s="1">
        <v>8</v>
      </c>
      <c r="C22" s="1">
        <f>C23+1.02</f>
        <v>26.14</v>
      </c>
      <c r="D22" s="1">
        <f t="shared" si="1"/>
        <v>10.259999999999998</v>
      </c>
      <c r="E22" s="55">
        <f t="shared" si="2"/>
        <v>101.35418810454824</v>
      </c>
      <c r="F22" s="55">
        <f t="shared" si="3"/>
        <v>50.677094052274121</v>
      </c>
      <c r="G22" s="55">
        <f t="shared" si="4"/>
        <v>0.77358693222348707</v>
      </c>
      <c r="H22" s="55">
        <f t="shared" si="5"/>
        <v>8.9736084137924497</v>
      </c>
      <c r="I22" s="55">
        <f t="shared" si="6"/>
        <v>4.4868042068962248</v>
      </c>
      <c r="J22" s="55">
        <f t="shared" si="7"/>
        <v>2.1245968916351039</v>
      </c>
      <c r="K22" s="55">
        <f t="shared" si="8"/>
        <v>0.88448214655501889</v>
      </c>
      <c r="L22" s="55">
        <f t="shared" si="9"/>
        <v>13.163726256466306</v>
      </c>
      <c r="M22" s="55">
        <f t="shared" si="10"/>
        <v>257.69764080383999</v>
      </c>
      <c r="N22" s="54">
        <f t="shared" si="11"/>
        <v>244.53391454737368</v>
      </c>
      <c r="O22" s="1">
        <v>8</v>
      </c>
    </row>
    <row r="23" spans="1:15" x14ac:dyDescent="0.35">
      <c r="A23" s="46">
        <f t="shared" si="0"/>
        <v>2.7431999999999999</v>
      </c>
      <c r="B23" s="1">
        <v>9</v>
      </c>
      <c r="C23" s="1">
        <f>C24+1.02</f>
        <v>25.12</v>
      </c>
      <c r="D23" s="1">
        <f t="shared" si="1"/>
        <v>11.279999999999998</v>
      </c>
      <c r="E23" s="55">
        <f t="shared" si="2"/>
        <v>111.43033545997115</v>
      </c>
      <c r="F23" s="55">
        <f t="shared" si="3"/>
        <v>55.715167729985573</v>
      </c>
      <c r="G23" s="55">
        <f t="shared" si="4"/>
        <v>0.82624744601101674</v>
      </c>
      <c r="H23" s="55">
        <f t="shared" si="5"/>
        <v>9.5844703737277932</v>
      </c>
      <c r="I23" s="55">
        <f t="shared" si="6"/>
        <v>4.7922351868638966</v>
      </c>
      <c r="J23" s="55">
        <f t="shared" si="7"/>
        <v>2.5328174348862049</v>
      </c>
      <c r="K23" s="55">
        <f t="shared" si="8"/>
        <v>0.97241312018914305</v>
      </c>
      <c r="L23" s="55">
        <f t="shared" si="9"/>
        <v>19.11540794987075</v>
      </c>
      <c r="M23" s="55">
        <f t="shared" si="10"/>
        <v>289.90984590431998</v>
      </c>
      <c r="N23" s="54">
        <f t="shared" si="11"/>
        <v>270.79443795444922</v>
      </c>
      <c r="O23" s="1">
        <v>9</v>
      </c>
    </row>
    <row r="24" spans="1:15" x14ac:dyDescent="0.35">
      <c r="A24" s="46">
        <f t="shared" si="0"/>
        <v>3.048</v>
      </c>
      <c r="B24" s="1">
        <v>10</v>
      </c>
      <c r="C24" s="1">
        <f>$C$26+(1.65*2)</f>
        <v>24.1</v>
      </c>
      <c r="D24" s="1">
        <f t="shared" si="1"/>
        <v>12.299999999999997</v>
      </c>
      <c r="E24" s="55">
        <f t="shared" si="2"/>
        <v>121.50648281539407</v>
      </c>
      <c r="F24" s="55">
        <f t="shared" si="3"/>
        <v>60.753241407697033</v>
      </c>
      <c r="G24" s="55">
        <f t="shared" si="4"/>
        <v>0.87252364856171505</v>
      </c>
      <c r="H24" s="55">
        <f t="shared" si="5"/>
        <v>10.121274323315895</v>
      </c>
      <c r="I24" s="55">
        <f t="shared" si="6"/>
        <v>5.0606371616579473</v>
      </c>
      <c r="J24" s="55">
        <f t="shared" si="7"/>
        <v>2.9662830914068716</v>
      </c>
      <c r="K24" s="55">
        <f t="shared" si="8"/>
        <v>1.0603440938232678</v>
      </c>
      <c r="L24" s="55">
        <f t="shared" si="9"/>
        <v>26.675333524331712</v>
      </c>
      <c r="M24" s="55">
        <f t="shared" si="10"/>
        <v>322.12205100479997</v>
      </c>
      <c r="N24" s="54">
        <f t="shared" si="11"/>
        <v>295.44671748046824</v>
      </c>
      <c r="O24" s="1">
        <v>10</v>
      </c>
    </row>
    <row r="25" spans="1:15" x14ac:dyDescent="0.35">
      <c r="A25" s="46">
        <f xml:space="preserve"> CONVERT(B25,"ft","m")</f>
        <v>3.3527999999999998</v>
      </c>
      <c r="B25" s="1">
        <v>11</v>
      </c>
      <c r="C25" s="1">
        <f>$C$26+1.65</f>
        <v>22.45</v>
      </c>
      <c r="D25" s="1">
        <f t="shared" si="1"/>
        <v>13.95</v>
      </c>
      <c r="E25" s="55">
        <f t="shared" si="2"/>
        <v>137.80613294916648</v>
      </c>
      <c r="F25" s="55">
        <f t="shared" si="3"/>
        <v>68.903066474583241</v>
      </c>
      <c r="G25" s="55">
        <f t="shared" si="4"/>
        <v>0.93297280054652099</v>
      </c>
      <c r="H25" s="55">
        <f t="shared" si="5"/>
        <v>10.822484486339643</v>
      </c>
      <c r="I25" s="55">
        <f t="shared" si="6"/>
        <v>5.4112422431698217</v>
      </c>
      <c r="J25" s="55">
        <f t="shared" si="7"/>
        <v>3.7123081200199977</v>
      </c>
      <c r="K25" s="55">
        <f t="shared" si="8"/>
        <v>1.2025853747019994</v>
      </c>
      <c r="L25" s="55">
        <f t="shared" si="9"/>
        <v>40.425492382857669</v>
      </c>
      <c r="M25" s="55">
        <f t="shared" si="10"/>
        <v>354.33425610527996</v>
      </c>
      <c r="N25" s="54">
        <f t="shared" si="11"/>
        <v>313.90876372242229</v>
      </c>
      <c r="O25" s="1">
        <v>11</v>
      </c>
    </row>
    <row r="26" spans="1:15" x14ac:dyDescent="0.35">
      <c r="A26" s="46">
        <f xml:space="preserve"> CONVERT(12,"ft","m")</f>
        <v>3.6576</v>
      </c>
      <c r="B26" s="1" t="s">
        <v>66</v>
      </c>
      <c r="C26" s="1">
        <v>20.8</v>
      </c>
      <c r="D26" s="1">
        <f t="shared" si="1"/>
        <v>15.599999999999998</v>
      </c>
      <c r="E26" s="55">
        <f t="shared" si="2"/>
        <v>154.10578308293884</v>
      </c>
      <c r="F26" s="55">
        <f t="shared" si="3"/>
        <v>77.052891541469421</v>
      </c>
      <c r="G26" s="55">
        <f t="shared" si="4"/>
        <v>0.97457730900476858</v>
      </c>
      <c r="H26" s="55">
        <f t="shared" si="5"/>
        <v>11.305096784455316</v>
      </c>
      <c r="I26" s="55">
        <f t="shared" si="6"/>
        <v>5.6525483922276578</v>
      </c>
      <c r="J26" s="55">
        <f t="shared" si="7"/>
        <v>4.5005013760974881</v>
      </c>
      <c r="K26" s="55">
        <f t="shared" si="8"/>
        <v>1.3448266555807304</v>
      </c>
      <c r="L26" s="55">
        <f t="shared" si="9"/>
        <v>57.832692816351361</v>
      </c>
      <c r="M26" s="55">
        <f t="shared" si="10"/>
        <v>386.54646120575995</v>
      </c>
      <c r="N26" s="54">
        <f t="shared" si="11"/>
        <v>328.71376838940859</v>
      </c>
      <c r="O26" s="1" t="s">
        <v>66</v>
      </c>
    </row>
    <row r="32" spans="1:15" ht="15" thickBot="1" x14ac:dyDescent="0.4"/>
    <row r="33" spans="1:18" x14ac:dyDescent="0.35">
      <c r="J33" s="85"/>
      <c r="K33" s="86"/>
      <c r="L33" s="86"/>
      <c r="M33" s="86"/>
      <c r="N33" s="86" t="s">
        <v>123</v>
      </c>
      <c r="O33" s="86"/>
      <c r="P33" s="86"/>
      <c r="Q33" s="86"/>
      <c r="R33" s="87"/>
    </row>
    <row r="34" spans="1:18" x14ac:dyDescent="0.35">
      <c r="J34" s="88" t="s">
        <v>65</v>
      </c>
      <c r="K34" s="89" t="s">
        <v>104</v>
      </c>
      <c r="L34" s="90" t="s">
        <v>105</v>
      </c>
      <c r="M34" s="75"/>
      <c r="N34" s="81" t="s">
        <v>104</v>
      </c>
      <c r="O34" s="83"/>
      <c r="P34" s="82" t="s">
        <v>105</v>
      </c>
      <c r="Q34" s="84"/>
      <c r="R34" s="91"/>
    </row>
    <row r="35" spans="1:18" x14ac:dyDescent="0.35">
      <c r="J35" s="97">
        <v>1</v>
      </c>
      <c r="K35" s="75">
        <v>31.704639542278287</v>
      </c>
      <c r="L35" s="75">
        <v>28.8</v>
      </c>
      <c r="M35" s="75"/>
      <c r="N35" s="74" t="s">
        <v>106</v>
      </c>
      <c r="O35" s="75">
        <v>12</v>
      </c>
      <c r="P35" s="75"/>
      <c r="Q35" s="76"/>
      <c r="R35" s="91"/>
    </row>
    <row r="36" spans="1:18" ht="18.75" customHeight="1" x14ac:dyDescent="0.35">
      <c r="A36" s="46"/>
      <c r="B36" s="1"/>
      <c r="C36" s="1"/>
      <c r="J36" s="97">
        <v>2</v>
      </c>
      <c r="K36" s="75">
        <v>64.41010877496511</v>
      </c>
      <c r="L36" s="75">
        <v>64.3</v>
      </c>
      <c r="M36" s="75"/>
      <c r="N36" s="74" t="s">
        <v>107</v>
      </c>
      <c r="O36" s="75">
        <v>195.29</v>
      </c>
      <c r="P36" s="75" t="s">
        <v>107</v>
      </c>
      <c r="Q36" s="76">
        <v>195.28</v>
      </c>
      <c r="R36" s="91"/>
    </row>
    <row r="37" spans="1:18" x14ac:dyDescent="0.35">
      <c r="A37" s="46"/>
      <c r="B37" s="1"/>
      <c r="C37" s="1"/>
      <c r="J37" s="97">
        <v>3</v>
      </c>
      <c r="K37" s="75">
        <v>96.458726378669311</v>
      </c>
      <c r="L37" s="75">
        <v>98.3</v>
      </c>
      <c r="M37" s="75"/>
      <c r="N37" s="74" t="s">
        <v>108</v>
      </c>
      <c r="O37" s="75">
        <v>204.86</v>
      </c>
      <c r="P37" s="75" t="s">
        <v>108</v>
      </c>
      <c r="Q37" s="76">
        <v>204.5</v>
      </c>
      <c r="R37" s="91"/>
    </row>
    <row r="38" spans="1:18" x14ac:dyDescent="0.35">
      <c r="A38" s="46"/>
      <c r="B38" s="1"/>
      <c r="C38" s="1"/>
      <c r="J38" s="97">
        <v>4</v>
      </c>
      <c r="K38" s="75">
        <v>128.24737922622134</v>
      </c>
      <c r="L38" s="75">
        <v>130.69999999999999</v>
      </c>
      <c r="M38" s="75"/>
      <c r="N38" s="74"/>
      <c r="O38" s="75"/>
      <c r="P38" s="75"/>
      <c r="Q38" s="76"/>
      <c r="R38" s="91"/>
    </row>
    <row r="39" spans="1:18" x14ac:dyDescent="0.35">
      <c r="A39" s="46"/>
      <c r="B39" s="1"/>
      <c r="C39" s="1"/>
      <c r="J39" s="97">
        <v>5</v>
      </c>
      <c r="K39" s="75">
        <v>159.54681755512232</v>
      </c>
      <c r="L39" s="75">
        <v>161.5</v>
      </c>
      <c r="M39" s="75"/>
      <c r="N39" s="74" t="s">
        <v>109</v>
      </c>
      <c r="O39" s="75"/>
      <c r="P39" s="75"/>
      <c r="Q39" s="76"/>
      <c r="R39" s="91"/>
    </row>
    <row r="40" spans="1:18" x14ac:dyDescent="0.35">
      <c r="A40" s="46"/>
      <c r="B40" s="1"/>
      <c r="C40" s="1"/>
      <c r="J40" s="97">
        <v>6</v>
      </c>
      <c r="K40" s="75">
        <v>190.09889584892872</v>
      </c>
      <c r="L40" s="75">
        <v>190.7</v>
      </c>
      <c r="M40" s="75"/>
      <c r="N40" s="74" t="s">
        <v>110</v>
      </c>
      <c r="O40" s="75">
        <v>1.4988E-2</v>
      </c>
      <c r="P40" s="75" t="s">
        <v>111</v>
      </c>
      <c r="Q40" s="76" t="s">
        <v>112</v>
      </c>
      <c r="R40" s="91"/>
    </row>
    <row r="41" spans="1:18" x14ac:dyDescent="0.35">
      <c r="A41" s="46"/>
      <c r="B41" s="1"/>
      <c r="C41" s="1"/>
      <c r="J41" s="97">
        <v>7</v>
      </c>
      <c r="K41" s="75">
        <v>219.61569151602509</v>
      </c>
      <c r="L41" s="75">
        <v>218.3</v>
      </c>
      <c r="M41" s="75"/>
      <c r="N41" s="74" t="s">
        <v>113</v>
      </c>
      <c r="O41" s="75">
        <v>2.2588E-2</v>
      </c>
      <c r="P41" s="75" t="s">
        <v>114</v>
      </c>
      <c r="Q41" s="76">
        <v>0.98238000000000003</v>
      </c>
      <c r="R41" s="91"/>
    </row>
    <row r="42" spans="1:18" x14ac:dyDescent="0.35">
      <c r="A42" s="46"/>
      <c r="B42" s="1"/>
      <c r="C42" s="1"/>
      <c r="J42" s="97">
        <v>8</v>
      </c>
      <c r="K42" s="75">
        <v>244.53391454737368</v>
      </c>
      <c r="L42" s="75">
        <v>244.4</v>
      </c>
      <c r="M42" s="75"/>
      <c r="N42" s="74" t="s">
        <v>115</v>
      </c>
      <c r="O42" s="75"/>
      <c r="P42" s="75" t="s">
        <v>114</v>
      </c>
      <c r="Q42" s="76">
        <v>0.98290999999999995</v>
      </c>
      <c r="R42" s="91"/>
    </row>
    <row r="43" spans="1:18" x14ac:dyDescent="0.35">
      <c r="C43" s="51" t="s">
        <v>85</v>
      </c>
      <c r="J43" s="97">
        <v>9</v>
      </c>
      <c r="K43" s="75">
        <v>270.79443795444922</v>
      </c>
      <c r="L43" s="75">
        <v>268.89999999999998</v>
      </c>
      <c r="M43" s="75"/>
      <c r="N43" s="74"/>
      <c r="O43" s="75"/>
      <c r="P43" s="75"/>
      <c r="Q43" s="76"/>
      <c r="R43" s="91"/>
    </row>
    <row r="44" spans="1:18" ht="23.5" x14ac:dyDescent="0.55000000000000004">
      <c r="A44" s="159" t="s">
        <v>132</v>
      </c>
      <c r="B44" s="159"/>
      <c r="C44" s="159"/>
      <c r="D44" s="159"/>
      <c r="E44" s="159"/>
      <c r="F44" s="159"/>
      <c r="J44" s="97">
        <v>10</v>
      </c>
      <c r="K44" s="75">
        <v>295.44671748046824</v>
      </c>
      <c r="L44" s="75">
        <v>291.7</v>
      </c>
      <c r="M44" s="75"/>
      <c r="N44" s="74" t="s">
        <v>116</v>
      </c>
      <c r="O44" s="75"/>
      <c r="P44" s="75"/>
      <c r="Q44" s="76"/>
      <c r="R44" s="91"/>
    </row>
    <row r="45" spans="1:18" x14ac:dyDescent="0.35">
      <c r="B45" s="51" t="s">
        <v>87</v>
      </c>
      <c r="C45" s="1">
        <v>10.5</v>
      </c>
      <c r="D45" s="42">
        <f>C45/3.2808399</f>
        <v>3.2003999951353919</v>
      </c>
      <c r="J45" s="97">
        <v>11</v>
      </c>
      <c r="K45" s="75">
        <v>313.90876372242229</v>
      </c>
      <c r="L45" s="75">
        <v>313</v>
      </c>
      <c r="M45" s="75"/>
      <c r="N45" s="74" t="s">
        <v>117</v>
      </c>
      <c r="O45" s="75">
        <v>7</v>
      </c>
      <c r="P45" s="75" t="s">
        <v>118</v>
      </c>
      <c r="Q45" s="76">
        <v>0.77441000000000004</v>
      </c>
      <c r="R45" s="91"/>
    </row>
    <row r="46" spans="1:18" x14ac:dyDescent="0.35">
      <c r="B46" s="51" t="s">
        <v>88</v>
      </c>
      <c r="C46" s="1">
        <f>C45</f>
        <v>10.5</v>
      </c>
      <c r="J46" s="97" t="s">
        <v>66</v>
      </c>
      <c r="K46" s="75">
        <v>328.71376838940859</v>
      </c>
      <c r="L46" s="75">
        <v>332.7</v>
      </c>
      <c r="M46" s="75"/>
      <c r="N46" s="74"/>
      <c r="O46" s="75"/>
      <c r="P46" s="75"/>
      <c r="Q46" s="76"/>
      <c r="R46" s="91"/>
    </row>
    <row r="47" spans="1:18" x14ac:dyDescent="0.35">
      <c r="B47" s="73" t="s">
        <v>71</v>
      </c>
      <c r="C47" s="54">
        <f xml:space="preserve"> (-0.7915*(C46^2)) +(37.921*(C46)) - 8.3261</f>
        <v>302.581525</v>
      </c>
      <c r="J47" s="88"/>
      <c r="K47" s="75"/>
      <c r="L47" s="75"/>
      <c r="M47" s="75"/>
      <c r="N47" s="74" t="s">
        <v>119</v>
      </c>
      <c r="O47" s="75"/>
      <c r="P47" s="75"/>
      <c r="Q47" s="76"/>
      <c r="R47" s="91"/>
    </row>
    <row r="48" spans="1:18" x14ac:dyDescent="0.35">
      <c r="J48" s="88"/>
      <c r="K48" s="75"/>
      <c r="L48" s="75"/>
      <c r="M48" s="75"/>
      <c r="N48" s="77" t="s">
        <v>120</v>
      </c>
      <c r="O48" s="75">
        <v>40</v>
      </c>
      <c r="P48" s="75"/>
      <c r="Q48" s="76"/>
      <c r="R48" s="91"/>
    </row>
    <row r="49" spans="10:18" x14ac:dyDescent="0.35">
      <c r="J49" s="88"/>
      <c r="K49" s="75"/>
      <c r="L49" s="75"/>
      <c r="M49" s="75"/>
      <c r="N49" s="77" t="s">
        <v>121</v>
      </c>
      <c r="O49" s="75">
        <v>7.8446000000000002E-2</v>
      </c>
      <c r="P49" s="75" t="s">
        <v>118</v>
      </c>
      <c r="Q49" s="76">
        <v>0.93747000000000003</v>
      </c>
      <c r="R49" s="91"/>
    </row>
    <row r="50" spans="10:18" x14ac:dyDescent="0.35">
      <c r="J50" s="88"/>
      <c r="K50" s="75"/>
      <c r="L50" s="75"/>
      <c r="M50" s="75"/>
      <c r="N50" s="77" t="s">
        <v>122</v>
      </c>
      <c r="O50" s="75"/>
      <c r="P50" s="75" t="s">
        <v>118</v>
      </c>
      <c r="Q50" s="76">
        <v>0.97009000000000001</v>
      </c>
      <c r="R50" s="91"/>
    </row>
    <row r="51" spans="10:18" x14ac:dyDescent="0.35">
      <c r="J51" s="88"/>
      <c r="K51" s="75"/>
      <c r="L51" s="75"/>
      <c r="M51" s="75"/>
      <c r="N51" s="78" t="s">
        <v>115</v>
      </c>
      <c r="O51" s="79"/>
      <c r="P51" s="79" t="s">
        <v>118</v>
      </c>
      <c r="Q51" s="80">
        <v>0.96972999999999998</v>
      </c>
      <c r="R51" s="91"/>
    </row>
    <row r="52" spans="10:18" ht="15" thickBot="1" x14ac:dyDescent="0.4">
      <c r="J52" s="92"/>
      <c r="K52" s="93"/>
      <c r="L52" s="93"/>
      <c r="M52" s="93"/>
      <c r="N52" s="93"/>
      <c r="O52" s="93"/>
      <c r="P52" s="93"/>
      <c r="Q52" s="93"/>
      <c r="R52" s="94"/>
    </row>
  </sheetData>
  <mergeCells count="2">
    <mergeCell ref="A13:O13"/>
    <mergeCell ref="A44:F4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1"/>
  <sheetViews>
    <sheetView workbookViewId="0">
      <selection activeCell="N15" sqref="N15"/>
    </sheetView>
  </sheetViews>
  <sheetFormatPr defaultRowHeight="14.5" x14ac:dyDescent="0.35"/>
  <cols>
    <col min="1" max="1" width="13.81640625" customWidth="1"/>
    <col min="2" max="3" width="18.54296875" bestFit="1" customWidth="1"/>
    <col min="4" max="4" width="13.7265625" bestFit="1" customWidth="1"/>
    <col min="5" max="7" width="12.7265625" bestFit="1" customWidth="1"/>
    <col min="8" max="9" width="12.26953125" bestFit="1" customWidth="1"/>
    <col min="10" max="10" width="5.7265625" customWidth="1"/>
    <col min="11" max="14" width="12.54296875" customWidth="1"/>
    <col min="15" max="17" width="7" customWidth="1"/>
    <col min="20" max="20" width="13.7265625" bestFit="1" customWidth="1"/>
  </cols>
  <sheetData>
    <row r="1" spans="1:19" ht="18.5" x14ac:dyDescent="0.45">
      <c r="A1" s="160" t="s">
        <v>41</v>
      </c>
      <c r="B1" s="161"/>
      <c r="C1" s="161"/>
      <c r="D1" s="161"/>
      <c r="E1" s="162"/>
    </row>
    <row r="2" spans="1:19" ht="15.5" x14ac:dyDescent="0.35">
      <c r="A2" s="97" t="s">
        <v>73</v>
      </c>
      <c r="B2" s="60" t="s">
        <v>74</v>
      </c>
      <c r="C2" s="60" t="s">
        <v>39</v>
      </c>
      <c r="D2" s="106" t="s">
        <v>38</v>
      </c>
      <c r="E2" s="98" t="s">
        <v>44</v>
      </c>
      <c r="K2" s="18"/>
      <c r="L2" s="47"/>
      <c r="M2" s="47"/>
    </row>
    <row r="3" spans="1:19" ht="16" thickBot="1" x14ac:dyDescent="0.4">
      <c r="A3" s="102">
        <v>13.8</v>
      </c>
      <c r="B3" s="103">
        <v>12.3</v>
      </c>
      <c r="C3" s="104">
        <v>5.4</v>
      </c>
      <c r="D3" s="107">
        <f>CONVERT(C3,"m","ft")</f>
        <v>17.716535433070867</v>
      </c>
      <c r="E3" s="113">
        <f>0.5*C3*B3*A3</f>
        <v>458.29800000000006</v>
      </c>
      <c r="K3" s="48"/>
      <c r="L3" s="48"/>
      <c r="M3" s="48"/>
    </row>
    <row r="4" spans="1:19" ht="15.5" x14ac:dyDescent="0.35">
      <c r="K4" s="48"/>
      <c r="L4" s="49"/>
      <c r="M4" s="48"/>
    </row>
    <row r="5" spans="1:19" ht="15.5" x14ac:dyDescent="0.35">
      <c r="K5" s="47"/>
      <c r="L5" s="47"/>
      <c r="M5" s="47"/>
    </row>
    <row r="6" spans="1:19" ht="16" thickBot="1" x14ac:dyDescent="0.4">
      <c r="K6" s="47"/>
      <c r="L6" s="47"/>
      <c r="M6" s="47"/>
    </row>
    <row r="7" spans="1:19" ht="18.5" x14ac:dyDescent="0.45">
      <c r="A7" s="163" t="s">
        <v>42</v>
      </c>
      <c r="B7" s="164"/>
      <c r="C7" s="164"/>
      <c r="D7" s="164"/>
      <c r="E7" s="164"/>
      <c r="F7" s="164"/>
      <c r="G7" s="165"/>
      <c r="K7" s="50"/>
      <c r="L7" s="47"/>
      <c r="M7" s="47"/>
    </row>
    <row r="8" spans="1:19" ht="15.5" x14ac:dyDescent="0.35">
      <c r="A8" s="97" t="s">
        <v>96</v>
      </c>
      <c r="B8" s="60" t="s">
        <v>43</v>
      </c>
      <c r="C8" s="60" t="s">
        <v>46</v>
      </c>
      <c r="D8" s="60" t="s">
        <v>47</v>
      </c>
      <c r="E8" s="60" t="s">
        <v>39</v>
      </c>
      <c r="F8" s="60" t="s">
        <v>38</v>
      </c>
      <c r="G8" s="98" t="s">
        <v>45</v>
      </c>
      <c r="K8" s="47"/>
      <c r="L8" s="47"/>
      <c r="M8" s="47"/>
    </row>
    <row r="9" spans="1:19" ht="16" thickBot="1" x14ac:dyDescent="0.4">
      <c r="A9" s="102">
        <v>10</v>
      </c>
      <c r="B9" s="103">
        <f>SQRT((A9^2)-(0.25*((C9-D9)^2)))</f>
        <v>9.3860268484593625</v>
      </c>
      <c r="C9" s="103">
        <v>7</v>
      </c>
      <c r="D9" s="103">
        <v>0.1</v>
      </c>
      <c r="E9" s="103">
        <v>1.2</v>
      </c>
      <c r="F9" s="104">
        <f>CONVERT(E9,"m","ft")</f>
        <v>3.9370078740157481</v>
      </c>
      <c r="G9" s="105">
        <f>((E9*B9)/6)*((2*D9)+C9)</f>
        <v>13.515878661781482</v>
      </c>
      <c r="K9" s="47"/>
      <c r="L9" s="47"/>
      <c r="M9" s="47"/>
    </row>
    <row r="10" spans="1:19" ht="15.5" x14ac:dyDescent="0.35">
      <c r="K10" s="47"/>
      <c r="L10" s="47"/>
      <c r="M10" s="47"/>
    </row>
    <row r="11" spans="1:19" ht="15.5" x14ac:dyDescent="0.35">
      <c r="K11" s="47"/>
      <c r="L11" s="47"/>
      <c r="M11" s="47"/>
    </row>
    <row r="12" spans="1:19" ht="15" thickBot="1" x14ac:dyDescent="0.4"/>
    <row r="13" spans="1:19" ht="18.5" x14ac:dyDescent="0.45">
      <c r="A13" s="166" t="s">
        <v>48</v>
      </c>
      <c r="B13" s="167"/>
      <c r="C13" s="167"/>
      <c r="D13" s="167"/>
      <c r="E13" s="167"/>
      <c r="F13" s="167"/>
      <c r="G13" s="167"/>
      <c r="H13" s="167"/>
      <c r="I13" s="168"/>
      <c r="J13" s="1"/>
      <c r="K13" s="155" t="s">
        <v>130</v>
      </c>
      <c r="L13" s="156"/>
      <c r="M13" s="156"/>
      <c r="N13" s="156"/>
      <c r="O13" s="156"/>
      <c r="P13" s="156"/>
      <c r="Q13" s="156"/>
      <c r="R13" s="156"/>
      <c r="S13" s="157"/>
    </row>
    <row r="14" spans="1:19" x14ac:dyDescent="0.35">
      <c r="A14" s="97" t="s">
        <v>43</v>
      </c>
      <c r="B14" s="60" t="s">
        <v>52</v>
      </c>
      <c r="C14" s="60" t="s">
        <v>53</v>
      </c>
      <c r="D14" s="60" t="s">
        <v>47</v>
      </c>
      <c r="E14" s="60" t="s">
        <v>39</v>
      </c>
      <c r="F14" s="60" t="s">
        <v>38</v>
      </c>
      <c r="G14" s="60" t="s">
        <v>49</v>
      </c>
      <c r="H14" s="60" t="s">
        <v>50</v>
      </c>
      <c r="I14" s="98" t="s">
        <v>51</v>
      </c>
      <c r="J14" s="1"/>
      <c r="K14" s="97" t="s">
        <v>125</v>
      </c>
      <c r="L14" s="60" t="s">
        <v>126</v>
      </c>
      <c r="M14" s="60" t="s">
        <v>67</v>
      </c>
      <c r="N14" s="60" t="s">
        <v>131</v>
      </c>
      <c r="O14" s="75"/>
      <c r="P14" s="75"/>
      <c r="Q14" s="75"/>
      <c r="R14" s="75"/>
      <c r="S14" s="91"/>
    </row>
    <row r="15" spans="1:19" x14ac:dyDescent="0.35">
      <c r="A15" s="97">
        <v>9</v>
      </c>
      <c r="B15" s="60">
        <v>15.7</v>
      </c>
      <c r="C15" s="60">
        <v>17.7</v>
      </c>
      <c r="D15" s="60">
        <f>C15/2</f>
        <v>8.85</v>
      </c>
      <c r="E15" s="60">
        <v>0.61</v>
      </c>
      <c r="F15" s="99">
        <f>CONVERT(E15,"m","ft")</f>
        <v>2.0013123359580054</v>
      </c>
      <c r="G15" s="60">
        <f>((E15*(A15/2))/6)*((2*D15)+B15)</f>
        <v>15.2805</v>
      </c>
      <c r="H15" s="60">
        <f>((E15*(A15/2))/6)*((2*D15)+C15)</f>
        <v>16.195499999999999</v>
      </c>
      <c r="I15" s="98">
        <f>G15+H15</f>
        <v>31.475999999999999</v>
      </c>
      <c r="K15" s="97">
        <v>13.8</v>
      </c>
      <c r="L15" s="60">
        <v>12.3</v>
      </c>
      <c r="M15" s="60">
        <v>1.6</v>
      </c>
      <c r="N15" s="101">
        <f>((4/3)*3.14*K15*L15*M15)/4</f>
        <v>284.25792000000001</v>
      </c>
      <c r="O15" s="75"/>
      <c r="P15" s="75"/>
      <c r="Q15" s="75"/>
      <c r="R15" s="75"/>
      <c r="S15" s="91"/>
    </row>
    <row r="16" spans="1:19" x14ac:dyDescent="0.35">
      <c r="A16" s="88"/>
      <c r="B16" s="75"/>
      <c r="C16" s="75"/>
      <c r="D16" s="75"/>
      <c r="E16" s="75"/>
      <c r="F16" s="75"/>
      <c r="G16" s="75"/>
      <c r="H16" s="75"/>
      <c r="I16" s="91"/>
      <c r="K16" s="108" t="s">
        <v>133</v>
      </c>
      <c r="L16" s="75"/>
      <c r="M16" s="75"/>
      <c r="N16" s="75"/>
      <c r="O16" s="75"/>
      <c r="P16" s="75"/>
      <c r="Q16" s="75"/>
      <c r="R16" s="75"/>
      <c r="S16" s="91"/>
    </row>
    <row r="17" spans="1:19" x14ac:dyDescent="0.35">
      <c r="A17" s="88"/>
      <c r="B17" s="75"/>
      <c r="C17" s="75"/>
      <c r="D17" s="75"/>
      <c r="E17" s="75"/>
      <c r="F17" s="75"/>
      <c r="G17" s="75"/>
      <c r="H17" s="75"/>
      <c r="I17" s="91"/>
      <c r="K17" s="88"/>
      <c r="L17" s="75"/>
      <c r="M17" s="75"/>
      <c r="N17" s="75"/>
      <c r="O17" s="75"/>
      <c r="P17" s="75"/>
      <c r="Q17" s="75"/>
      <c r="R17" s="75"/>
      <c r="S17" s="91"/>
    </row>
    <row r="18" spans="1:19" x14ac:dyDescent="0.35">
      <c r="A18" s="88"/>
      <c r="B18" s="75"/>
      <c r="C18" s="75"/>
      <c r="D18" s="75"/>
      <c r="E18" s="75"/>
      <c r="F18" s="75"/>
      <c r="G18" s="75"/>
      <c r="H18" s="75"/>
      <c r="I18" s="91"/>
      <c r="K18" s="88"/>
      <c r="L18" s="75"/>
      <c r="M18" s="75"/>
      <c r="N18" s="75"/>
      <c r="O18" s="75"/>
      <c r="P18" s="75"/>
      <c r="Q18" s="75"/>
      <c r="R18" s="75"/>
      <c r="S18" s="91"/>
    </row>
    <row r="19" spans="1:19" x14ac:dyDescent="0.35">
      <c r="A19" s="88" t="s">
        <v>94</v>
      </c>
      <c r="B19" s="75"/>
      <c r="C19" s="75"/>
      <c r="D19" s="75"/>
      <c r="E19" s="75"/>
      <c r="F19" s="75"/>
      <c r="G19" s="75"/>
      <c r="H19" s="75"/>
      <c r="I19" s="91"/>
      <c r="K19" s="88"/>
      <c r="L19" s="75"/>
      <c r="M19" s="75"/>
      <c r="N19" s="75"/>
      <c r="O19" s="75"/>
      <c r="P19" s="75"/>
      <c r="Q19" s="75"/>
      <c r="R19" s="75"/>
      <c r="S19" s="91"/>
    </row>
    <row r="20" spans="1:19" x14ac:dyDescent="0.35">
      <c r="A20" s="100" t="s">
        <v>95</v>
      </c>
      <c r="B20" s="75"/>
      <c r="C20" s="75"/>
      <c r="D20" s="75"/>
      <c r="E20" s="75"/>
      <c r="F20" s="75"/>
      <c r="G20" s="75"/>
      <c r="H20" s="75"/>
      <c r="I20" s="91"/>
      <c r="K20" s="88"/>
      <c r="L20" s="75"/>
      <c r="M20" s="75"/>
      <c r="N20" s="75"/>
      <c r="O20" s="75"/>
      <c r="P20" s="75"/>
      <c r="Q20" s="75"/>
      <c r="R20" s="75"/>
      <c r="S20" s="91"/>
    </row>
    <row r="21" spans="1:19" x14ac:dyDescent="0.35">
      <c r="A21" s="88"/>
      <c r="B21" s="75"/>
      <c r="C21" s="75"/>
      <c r="D21" s="75"/>
      <c r="E21" s="75"/>
      <c r="F21" s="75"/>
      <c r="G21" s="75"/>
      <c r="H21" s="75"/>
      <c r="I21" s="91"/>
      <c r="K21" s="88"/>
      <c r="L21" s="75"/>
      <c r="M21" s="75"/>
      <c r="N21" s="75"/>
      <c r="O21" s="75"/>
      <c r="P21" s="75"/>
      <c r="Q21" s="75"/>
      <c r="R21" s="75"/>
      <c r="S21" s="91"/>
    </row>
    <row r="22" spans="1:19" x14ac:dyDescent="0.35">
      <c r="A22" s="88"/>
      <c r="B22" s="75"/>
      <c r="C22" s="75"/>
      <c r="D22" s="75"/>
      <c r="E22" s="75"/>
      <c r="F22" s="75"/>
      <c r="G22" s="75"/>
      <c r="H22" s="75"/>
      <c r="I22" s="91"/>
      <c r="K22" s="88"/>
      <c r="L22" s="75"/>
      <c r="M22" s="75"/>
      <c r="N22" s="75"/>
      <c r="O22" s="75"/>
      <c r="P22" s="75"/>
      <c r="Q22" s="75"/>
      <c r="R22" s="75"/>
      <c r="S22" s="91"/>
    </row>
    <row r="23" spans="1:19" x14ac:dyDescent="0.35">
      <c r="A23" s="88"/>
      <c r="B23" s="75"/>
      <c r="C23" s="75"/>
      <c r="D23" s="75"/>
      <c r="E23" s="75"/>
      <c r="F23" s="75"/>
      <c r="G23" s="75"/>
      <c r="H23" s="75"/>
      <c r="I23" s="91"/>
      <c r="K23" s="88"/>
      <c r="L23" s="75"/>
      <c r="M23" s="75"/>
      <c r="N23" s="75"/>
      <c r="O23" s="75"/>
      <c r="P23" s="75"/>
      <c r="Q23" s="75"/>
      <c r="R23" s="75"/>
      <c r="S23" s="91"/>
    </row>
    <row r="24" spans="1:19" x14ac:dyDescent="0.35">
      <c r="A24" s="88"/>
      <c r="B24" s="75"/>
      <c r="C24" s="75"/>
      <c r="D24" s="75"/>
      <c r="E24" s="75"/>
      <c r="F24" s="75"/>
      <c r="G24" s="75"/>
      <c r="H24" s="75"/>
      <c r="I24" s="91"/>
      <c r="K24" s="88"/>
      <c r="L24" s="75"/>
      <c r="M24" s="75"/>
      <c r="N24" s="75"/>
      <c r="O24" s="75"/>
      <c r="P24" s="75"/>
      <c r="Q24" s="75"/>
      <c r="R24" s="75"/>
      <c r="S24" s="91"/>
    </row>
    <row r="25" spans="1:19" x14ac:dyDescent="0.35">
      <c r="A25" s="88"/>
      <c r="B25" s="75"/>
      <c r="C25" s="75"/>
      <c r="D25" s="75"/>
      <c r="E25" s="75"/>
      <c r="F25" s="75"/>
      <c r="G25" s="75"/>
      <c r="H25" s="75"/>
      <c r="I25" s="91"/>
      <c r="K25" s="88"/>
      <c r="L25" s="75"/>
      <c r="M25" s="75"/>
      <c r="N25" s="75"/>
      <c r="O25" s="75"/>
      <c r="P25" s="75"/>
      <c r="Q25" s="75"/>
      <c r="R25" s="75"/>
      <c r="S25" s="91"/>
    </row>
    <row r="26" spans="1:19" x14ac:dyDescent="0.35">
      <c r="A26" s="88"/>
      <c r="B26" s="75"/>
      <c r="C26" s="75"/>
      <c r="D26" s="75"/>
      <c r="E26" s="75"/>
      <c r="F26" s="75"/>
      <c r="G26" s="75"/>
      <c r="H26" s="75"/>
      <c r="I26" s="91"/>
      <c r="K26" s="88"/>
      <c r="L26" s="75"/>
      <c r="M26" s="75"/>
      <c r="N26" s="75"/>
      <c r="O26" s="75"/>
      <c r="P26" s="75"/>
      <c r="Q26" s="75"/>
      <c r="R26" s="75"/>
      <c r="S26" s="91"/>
    </row>
    <row r="27" spans="1:19" x14ac:dyDescent="0.35">
      <c r="A27" s="88"/>
      <c r="B27" s="75"/>
      <c r="C27" s="75"/>
      <c r="D27" s="75"/>
      <c r="E27" s="75"/>
      <c r="F27" s="75"/>
      <c r="G27" s="75"/>
      <c r="H27" s="75"/>
      <c r="I27" s="91"/>
      <c r="K27" s="88"/>
      <c r="L27" s="75"/>
      <c r="M27" s="75"/>
      <c r="N27" s="75"/>
      <c r="O27" s="75"/>
      <c r="P27" s="75"/>
      <c r="Q27" s="75"/>
      <c r="R27" s="75"/>
      <c r="S27" s="91"/>
    </row>
    <row r="28" spans="1:19" ht="15" thickBot="1" x14ac:dyDescent="0.4">
      <c r="A28" s="88"/>
      <c r="B28" s="75"/>
      <c r="C28" s="75"/>
      <c r="D28" s="75"/>
      <c r="E28" s="75"/>
      <c r="F28" s="75"/>
      <c r="G28" s="75"/>
      <c r="H28" s="75"/>
      <c r="I28" s="91"/>
      <c r="K28" s="92"/>
      <c r="L28" s="93"/>
      <c r="M28" s="93"/>
      <c r="N28" s="93"/>
      <c r="O28" s="93"/>
      <c r="P28" s="93"/>
      <c r="Q28" s="93"/>
      <c r="R28" s="93"/>
      <c r="S28" s="94"/>
    </row>
    <row r="29" spans="1:19" x14ac:dyDescent="0.35">
      <c r="A29" s="88"/>
      <c r="B29" s="75"/>
      <c r="C29" s="75"/>
      <c r="D29" s="75"/>
      <c r="E29" s="75"/>
      <c r="F29" s="75"/>
      <c r="G29" s="75"/>
      <c r="H29" s="75"/>
      <c r="I29" s="91"/>
    </row>
    <row r="30" spans="1:19" x14ac:dyDescent="0.35">
      <c r="A30" s="88"/>
      <c r="B30" s="75"/>
      <c r="C30" s="75"/>
      <c r="D30" s="75"/>
      <c r="E30" s="75"/>
      <c r="F30" s="75"/>
      <c r="G30" s="75"/>
      <c r="H30" s="75"/>
      <c r="I30" s="91"/>
    </row>
    <row r="31" spans="1:19" x14ac:dyDescent="0.35">
      <c r="A31" s="88"/>
      <c r="B31" s="75"/>
      <c r="C31" s="75"/>
      <c r="D31" s="75"/>
      <c r="E31" s="75"/>
      <c r="F31" s="75"/>
      <c r="G31" s="75"/>
      <c r="H31" s="75"/>
      <c r="I31" s="91"/>
    </row>
    <row r="32" spans="1:19" x14ac:dyDescent="0.35">
      <c r="A32" s="88"/>
      <c r="B32" s="75"/>
      <c r="C32" s="75"/>
      <c r="D32" s="75"/>
      <c r="E32" s="75"/>
      <c r="F32" s="75"/>
      <c r="G32" s="75"/>
      <c r="H32" s="75"/>
      <c r="I32" s="91"/>
    </row>
    <row r="33" spans="1:9" x14ac:dyDescent="0.35">
      <c r="A33" s="88"/>
      <c r="B33" s="75"/>
      <c r="C33" s="75"/>
      <c r="D33" s="75"/>
      <c r="E33" s="75"/>
      <c r="F33" s="75"/>
      <c r="G33" s="75"/>
      <c r="H33" s="75"/>
      <c r="I33" s="91"/>
    </row>
    <row r="34" spans="1:9" x14ac:dyDescent="0.35">
      <c r="A34" s="88"/>
      <c r="B34" s="75"/>
      <c r="C34" s="75"/>
      <c r="D34" s="75"/>
      <c r="E34" s="75"/>
      <c r="F34" s="75"/>
      <c r="G34" s="75"/>
      <c r="H34" s="75"/>
      <c r="I34" s="91"/>
    </row>
    <row r="35" spans="1:9" x14ac:dyDescent="0.35">
      <c r="A35" s="88"/>
      <c r="B35" s="75"/>
      <c r="C35" s="75"/>
      <c r="D35" s="75"/>
      <c r="E35" s="75"/>
      <c r="F35" s="75"/>
      <c r="G35" s="75"/>
      <c r="H35" s="75"/>
      <c r="I35" s="91"/>
    </row>
    <row r="36" spans="1:9" x14ac:dyDescent="0.35">
      <c r="A36" s="88"/>
      <c r="B36" s="75"/>
      <c r="C36" s="75"/>
      <c r="D36" s="75"/>
      <c r="E36" s="75"/>
      <c r="F36" s="75"/>
      <c r="G36" s="75"/>
      <c r="H36" s="75"/>
      <c r="I36" s="91"/>
    </row>
    <row r="37" spans="1:9" x14ac:dyDescent="0.35">
      <c r="A37" s="88"/>
      <c r="B37" s="75"/>
      <c r="C37" s="75"/>
      <c r="D37" s="75"/>
      <c r="E37" s="75"/>
      <c r="F37" s="75"/>
      <c r="G37" s="75"/>
      <c r="H37" s="75"/>
      <c r="I37" s="91"/>
    </row>
    <row r="38" spans="1:9" x14ac:dyDescent="0.35">
      <c r="A38" s="88"/>
      <c r="B38" s="75"/>
      <c r="C38" s="75"/>
      <c r="D38" s="75"/>
      <c r="E38" s="75"/>
      <c r="F38" s="75"/>
      <c r="G38" s="75"/>
      <c r="H38" s="75"/>
      <c r="I38" s="91"/>
    </row>
    <row r="39" spans="1:9" x14ac:dyDescent="0.35">
      <c r="A39" s="88"/>
      <c r="B39" s="75"/>
      <c r="C39" s="75"/>
      <c r="D39" s="75"/>
      <c r="E39" s="75"/>
      <c r="F39" s="75"/>
      <c r="G39" s="75"/>
      <c r="H39" s="75"/>
      <c r="I39" s="91"/>
    </row>
    <row r="40" spans="1:9" x14ac:dyDescent="0.35">
      <c r="A40" s="88" t="s">
        <v>91</v>
      </c>
      <c r="B40" s="75"/>
      <c r="C40" s="75"/>
      <c r="D40" s="75"/>
      <c r="E40" s="75"/>
      <c r="F40" s="75"/>
      <c r="G40" s="75"/>
      <c r="H40" s="75"/>
      <c r="I40" s="91"/>
    </row>
    <row r="41" spans="1:9" x14ac:dyDescent="0.35">
      <c r="A41" s="100" t="s">
        <v>92</v>
      </c>
      <c r="B41" s="75"/>
      <c r="C41" s="75"/>
      <c r="D41" s="75"/>
      <c r="E41" s="75"/>
      <c r="F41" s="75"/>
      <c r="G41" s="75"/>
      <c r="H41" s="75"/>
      <c r="I41" s="91"/>
    </row>
    <row r="42" spans="1:9" x14ac:dyDescent="0.35">
      <c r="A42" s="88"/>
      <c r="B42" s="75"/>
      <c r="C42" s="75"/>
      <c r="D42" s="75"/>
      <c r="E42" s="75"/>
      <c r="F42" s="75"/>
      <c r="G42" s="75"/>
      <c r="H42" s="75"/>
      <c r="I42" s="91"/>
    </row>
    <row r="43" spans="1:9" x14ac:dyDescent="0.35">
      <c r="A43" s="88"/>
      <c r="B43" s="75"/>
      <c r="C43" s="75"/>
      <c r="D43" s="75"/>
      <c r="E43" s="75"/>
      <c r="F43" s="75"/>
      <c r="G43" s="75"/>
      <c r="H43" s="75"/>
      <c r="I43" s="91"/>
    </row>
    <row r="44" spans="1:9" x14ac:dyDescent="0.35">
      <c r="A44" s="88"/>
      <c r="B44" s="75"/>
      <c r="C44" s="75"/>
      <c r="D44" s="75"/>
      <c r="E44" s="75"/>
      <c r="F44" s="75"/>
      <c r="G44" s="75"/>
      <c r="H44" s="75"/>
      <c r="I44" s="91"/>
    </row>
    <row r="45" spans="1:9" x14ac:dyDescent="0.35">
      <c r="A45" s="88"/>
      <c r="B45" s="75"/>
      <c r="C45" s="75"/>
      <c r="D45" s="75"/>
      <c r="E45" s="75"/>
      <c r="F45" s="75"/>
      <c r="G45" s="75"/>
      <c r="H45" s="75"/>
      <c r="I45" s="91"/>
    </row>
    <row r="46" spans="1:9" x14ac:dyDescent="0.35">
      <c r="A46" s="88"/>
      <c r="B46" s="75"/>
      <c r="C46" s="75"/>
      <c r="D46" s="75"/>
      <c r="E46" s="75"/>
      <c r="F46" s="75"/>
      <c r="G46" s="75"/>
      <c r="H46" s="75"/>
      <c r="I46" s="91"/>
    </row>
    <row r="47" spans="1:9" x14ac:dyDescent="0.35">
      <c r="A47" s="88"/>
      <c r="B47" s="75"/>
      <c r="C47" s="75"/>
      <c r="D47" s="75"/>
      <c r="E47" s="75"/>
      <c r="F47" s="75"/>
      <c r="G47" s="75"/>
      <c r="H47" s="75"/>
      <c r="I47" s="91"/>
    </row>
    <row r="48" spans="1:9" x14ac:dyDescent="0.35">
      <c r="A48" s="88"/>
      <c r="B48" s="75"/>
      <c r="C48" s="75"/>
      <c r="D48" s="75"/>
      <c r="E48" s="75"/>
      <c r="F48" s="75"/>
      <c r="G48" s="75"/>
      <c r="H48" s="75"/>
      <c r="I48" s="91"/>
    </row>
    <row r="49" spans="1:9" x14ac:dyDescent="0.35">
      <c r="A49" s="88"/>
      <c r="B49" s="75"/>
      <c r="C49" s="75"/>
      <c r="D49" s="75"/>
      <c r="E49" s="75"/>
      <c r="F49" s="75"/>
      <c r="G49" s="75"/>
      <c r="H49" s="75"/>
      <c r="I49" s="91"/>
    </row>
    <row r="50" spans="1:9" x14ac:dyDescent="0.35">
      <c r="A50" s="88"/>
      <c r="B50" s="75"/>
      <c r="C50" s="75"/>
      <c r="D50" s="75"/>
      <c r="E50" s="75"/>
      <c r="F50" s="75"/>
      <c r="G50" s="75"/>
      <c r="H50" s="75"/>
      <c r="I50" s="91"/>
    </row>
    <row r="51" spans="1:9" x14ac:dyDescent="0.35">
      <c r="A51" s="88"/>
      <c r="B51" s="75"/>
      <c r="C51" s="75"/>
      <c r="D51" s="75"/>
      <c r="E51" s="75"/>
      <c r="F51" s="75"/>
      <c r="G51" s="75"/>
      <c r="H51" s="75"/>
      <c r="I51" s="91"/>
    </row>
    <row r="52" spans="1:9" x14ac:dyDescent="0.35">
      <c r="A52" s="88"/>
      <c r="B52" s="75"/>
      <c r="C52" s="75"/>
      <c r="D52" s="75"/>
      <c r="E52" s="75"/>
      <c r="F52" s="75"/>
      <c r="G52" s="75"/>
      <c r="H52" s="75"/>
      <c r="I52" s="91"/>
    </row>
    <row r="53" spans="1:9" x14ac:dyDescent="0.35">
      <c r="A53" s="88"/>
      <c r="B53" s="75"/>
      <c r="C53" s="75"/>
      <c r="D53" s="75"/>
      <c r="E53" s="75"/>
      <c r="F53" s="75"/>
      <c r="G53" s="75"/>
      <c r="H53" s="75"/>
      <c r="I53" s="91"/>
    </row>
    <row r="54" spans="1:9" x14ac:dyDescent="0.35">
      <c r="A54" s="88"/>
      <c r="B54" s="75"/>
      <c r="C54" s="75"/>
      <c r="D54" s="75"/>
      <c r="E54" s="75"/>
      <c r="F54" s="75"/>
      <c r="G54" s="75"/>
      <c r="H54" s="75"/>
      <c r="I54" s="91"/>
    </row>
    <row r="55" spans="1:9" x14ac:dyDescent="0.35">
      <c r="A55" s="88"/>
      <c r="B55" s="75"/>
      <c r="C55" s="75"/>
      <c r="D55" s="75"/>
      <c r="E55" s="75"/>
      <c r="F55" s="75"/>
      <c r="G55" s="75"/>
      <c r="H55" s="75"/>
      <c r="I55" s="91"/>
    </row>
    <row r="56" spans="1:9" x14ac:dyDescent="0.35">
      <c r="A56" s="88"/>
      <c r="B56" s="75"/>
      <c r="C56" s="75"/>
      <c r="D56" s="75"/>
      <c r="E56" s="75"/>
      <c r="F56" s="75"/>
      <c r="G56" s="75"/>
      <c r="H56" s="75"/>
      <c r="I56" s="91"/>
    </row>
    <row r="57" spans="1:9" x14ac:dyDescent="0.35">
      <c r="A57" s="88"/>
      <c r="B57" s="75"/>
      <c r="C57" s="75"/>
      <c r="D57" s="75"/>
      <c r="E57" s="75"/>
      <c r="F57" s="75"/>
      <c r="G57" s="75"/>
      <c r="H57" s="75"/>
      <c r="I57" s="91"/>
    </row>
    <row r="58" spans="1:9" x14ac:dyDescent="0.35">
      <c r="A58" s="88"/>
      <c r="B58" s="75"/>
      <c r="C58" s="75"/>
      <c r="D58" s="75"/>
      <c r="E58" s="75"/>
      <c r="F58" s="75"/>
      <c r="G58" s="75"/>
      <c r="H58" s="75"/>
      <c r="I58" s="91"/>
    </row>
    <row r="59" spans="1:9" x14ac:dyDescent="0.35">
      <c r="A59" s="88"/>
      <c r="B59" s="75"/>
      <c r="C59" s="75"/>
      <c r="D59" s="75"/>
      <c r="E59" s="75"/>
      <c r="F59" s="75"/>
      <c r="G59" s="75"/>
      <c r="H59" s="75"/>
      <c r="I59" s="91"/>
    </row>
    <row r="60" spans="1:9" x14ac:dyDescent="0.35">
      <c r="A60" s="88"/>
      <c r="B60" s="75"/>
      <c r="C60" s="75"/>
      <c r="D60" s="75"/>
      <c r="E60" s="75"/>
      <c r="F60" s="75"/>
      <c r="G60" s="75"/>
      <c r="H60" s="75"/>
      <c r="I60" s="91"/>
    </row>
    <row r="61" spans="1:9" x14ac:dyDescent="0.35">
      <c r="A61" s="88"/>
      <c r="B61" s="75"/>
      <c r="C61" s="75"/>
      <c r="D61" s="75"/>
      <c r="E61" s="75"/>
      <c r="F61" s="75"/>
      <c r="G61" s="75"/>
      <c r="H61" s="75"/>
      <c r="I61" s="91"/>
    </row>
    <row r="62" spans="1:9" x14ac:dyDescent="0.35">
      <c r="A62" s="88"/>
      <c r="B62" s="75"/>
      <c r="C62" s="75"/>
      <c r="D62" s="75"/>
      <c r="E62" s="75"/>
      <c r="F62" s="75"/>
      <c r="G62" s="75"/>
      <c r="H62" s="75"/>
      <c r="I62" s="91"/>
    </row>
    <row r="63" spans="1:9" x14ac:dyDescent="0.35">
      <c r="A63" s="88"/>
      <c r="B63" s="75"/>
      <c r="C63" s="75"/>
      <c r="D63" s="75"/>
      <c r="E63" s="75"/>
      <c r="F63" s="75"/>
      <c r="G63" s="75"/>
      <c r="H63" s="75"/>
      <c r="I63" s="91"/>
    </row>
    <row r="64" spans="1:9" x14ac:dyDescent="0.35">
      <c r="A64" s="88"/>
      <c r="B64" s="75"/>
      <c r="C64" s="75"/>
      <c r="D64" s="75"/>
      <c r="E64" s="75"/>
      <c r="F64" s="75"/>
      <c r="G64" s="75"/>
      <c r="H64" s="75"/>
      <c r="I64" s="91"/>
    </row>
    <row r="65" spans="1:9" x14ac:dyDescent="0.35">
      <c r="A65" s="88"/>
      <c r="B65" s="75"/>
      <c r="C65" s="75"/>
      <c r="D65" s="75"/>
      <c r="E65" s="75"/>
      <c r="F65" s="75"/>
      <c r="G65" s="75"/>
      <c r="H65" s="75"/>
      <c r="I65" s="91"/>
    </row>
    <row r="66" spans="1:9" x14ac:dyDescent="0.35">
      <c r="A66" s="88"/>
      <c r="B66" s="75"/>
      <c r="C66" s="75"/>
      <c r="D66" s="75"/>
      <c r="E66" s="75"/>
      <c r="F66" s="75"/>
      <c r="G66" s="75"/>
      <c r="H66" s="75"/>
      <c r="I66" s="91"/>
    </row>
    <row r="67" spans="1:9" x14ac:dyDescent="0.35">
      <c r="A67" s="88"/>
      <c r="B67" s="75"/>
      <c r="C67" s="75"/>
      <c r="D67" s="75"/>
      <c r="E67" s="75"/>
      <c r="F67" s="75"/>
      <c r="G67" s="75"/>
      <c r="H67" s="75"/>
      <c r="I67" s="91"/>
    </row>
    <row r="68" spans="1:9" ht="15" thickBot="1" x14ac:dyDescent="0.4">
      <c r="A68" s="92"/>
      <c r="B68" s="93"/>
      <c r="C68" s="93"/>
      <c r="D68" s="93"/>
      <c r="E68" s="93"/>
      <c r="F68" s="93"/>
      <c r="G68" s="93"/>
      <c r="H68" s="93"/>
      <c r="I68" s="94"/>
    </row>
    <row r="71" spans="1:9" ht="19" x14ac:dyDescent="0.35">
      <c r="A71" s="96"/>
    </row>
  </sheetData>
  <mergeCells count="4">
    <mergeCell ref="A1:E1"/>
    <mergeCell ref="A7:G7"/>
    <mergeCell ref="A13:I13"/>
    <mergeCell ref="K13:S13"/>
  </mergeCells>
  <hyperlinks>
    <hyperlink ref="A41" r:id="rId1" xr:uid="{00000000-0004-0000-0400-000000000000}"/>
    <hyperlink ref="A20" r:id="rId2" xr:uid="{00000000-0004-0000-04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Beach Seine and Lampara Volume</vt:lpstr>
      <vt:lpstr>Large Lampara Volume</vt:lpstr>
      <vt:lpstr>Small Lampara Seine Volume</vt:lpstr>
      <vt:lpstr>Small Lampara Drag and Drop</vt:lpstr>
      <vt:lpstr>Small Lampara Volume</vt:lpstr>
      <vt:lpstr>Beach Seine Volumes</vt:lpstr>
    </vt:vector>
  </TitlesOfParts>
  <Company>California Department of Fish and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Contreras</dc:creator>
  <cp:lastModifiedBy>Davidson, Emma@Wildlife</cp:lastModifiedBy>
  <cp:lastPrinted>2019-10-28T18:29:35Z</cp:lastPrinted>
  <dcterms:created xsi:type="dcterms:W3CDTF">2016-03-01T17:53:23Z</dcterms:created>
  <dcterms:modified xsi:type="dcterms:W3CDTF">2021-05-12T16:53:56Z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Dave.Contreras@wildlife.ca.gov</vt:lpwstr>
  </property>
  <property fmtid="{D5CDD505-2E9C-101B-9397-08002B2CF9AE}" pid="5" name="MSIP_Label_6e685f86-ed8d-482b-be3a-2b7af73f9b7f_SetDate">
    <vt:lpwstr>2018-12-12T21:36:54.1367054Z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