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tda\OneDrive\Documentos\SEMESTRE 2022-1\MODELOS LINEALES\"/>
    </mc:Choice>
  </mc:AlternateContent>
  <xr:revisionPtr revIDLastSave="0" documentId="13_ncr:1_{1C182861-71E6-43C6-AC52-9D24E2793318}" xr6:coauthVersionLast="47" xr6:coauthVersionMax="47" xr10:uidLastSave="{00000000-0000-0000-0000-000000000000}"/>
  <bookViews>
    <workbookView xWindow="1360" yWindow="1370" windowWidth="10160" windowHeight="6000" activeTab="1" xr2:uid="{00000000-000D-0000-FFFF-FFFF00000000}"/>
  </bookViews>
  <sheets>
    <sheet name="Ejercicio" sheetId="1" r:id="rId1"/>
    <sheet name="Continuacion 1" sheetId="2" r:id="rId2"/>
    <sheet name="OUTLIERS" sheetId="4" r:id="rId3"/>
    <sheet name="Matriz Hat" sheetId="5" r:id="rId4"/>
    <sheet name="Regresion Excel" sheetId="3" r:id="rId5"/>
  </sheets>
  <definedNames>
    <definedName name="_xlnm.Print_Area" localSheetId="0">Ejercicio!$B$1:$F$29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7" i="2" l="1" a="1"/>
  <c r="I117" i="2" s="1"/>
  <c r="R99" i="2" a="1"/>
  <c r="R99" i="2" s="1"/>
  <c r="I87" i="4"/>
  <c r="Q120" i="4"/>
  <c r="C114" i="4"/>
  <c r="H138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86" i="4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 s="1"/>
  <c r="AC8" i="1" a="1"/>
  <c r="AC8" i="1" s="1"/>
  <c r="AD8" i="1" a="1"/>
  <c r="AD8" i="1" s="1"/>
  <c r="AE8" i="1" a="1"/>
  <c r="AE8" i="1" s="1"/>
  <c r="AF8" i="1" a="1"/>
  <c r="AF8" i="1" s="1"/>
  <c r="AG8" i="1" a="1"/>
  <c r="AG8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N8" i="1" a="1"/>
  <c r="N8" i="1" s="1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86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86" i="4"/>
  <c r="D33" i="4"/>
  <c r="D34" i="4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" i="4"/>
  <c r="N23" i="5" a="1"/>
  <c r="N23" i="5" s="1"/>
  <c r="G23" i="5" a="1"/>
  <c r="G23" i="5" s="1"/>
  <c r="G10" i="5" a="1"/>
  <c r="G10" i="5" s="1"/>
  <c r="G16" i="5" s="1" a="1"/>
  <c r="G16" i="5" s="1"/>
  <c r="H5" i="4"/>
  <c r="H13" i="4"/>
  <c r="H14" i="4"/>
  <c r="H15" i="4"/>
  <c r="H17" i="4"/>
  <c r="H18" i="4"/>
  <c r="H21" i="4"/>
  <c r="H22" i="4"/>
  <c r="H23" i="4"/>
  <c r="H25" i="4"/>
  <c r="H26" i="4"/>
  <c r="C30" i="4"/>
  <c r="H6" i="4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" i="4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17" i="2"/>
  <c r="J118" i="2" a="1"/>
  <c r="J118" i="2" s="1"/>
  <c r="J119" i="2" a="1"/>
  <c r="J119" i="2" s="1"/>
  <c r="J120" i="2" a="1"/>
  <c r="J120" i="2" s="1"/>
  <c r="J121" i="2" a="1"/>
  <c r="J121" i="2"/>
  <c r="J122" i="2" a="1"/>
  <c r="J122" i="2" s="1"/>
  <c r="J123" i="2" a="1"/>
  <c r="J123" i="2" s="1"/>
  <c r="J124" i="2" a="1"/>
  <c r="J124" i="2" s="1"/>
  <c r="J125" i="2" a="1"/>
  <c r="J125" i="2"/>
  <c r="J126" i="2" a="1"/>
  <c r="J126" i="2" s="1"/>
  <c r="J127" i="2" a="1"/>
  <c r="J127" i="2" s="1"/>
  <c r="J128" i="2" a="1"/>
  <c r="J128" i="2" s="1"/>
  <c r="J129" i="2" a="1"/>
  <c r="J129" i="2"/>
  <c r="J130" i="2" a="1"/>
  <c r="J130" i="2" s="1"/>
  <c r="J131" i="2" a="1"/>
  <c r="J131" i="2" s="1"/>
  <c r="J132" i="2" a="1"/>
  <c r="J132" i="2" s="1"/>
  <c r="J133" i="2" a="1"/>
  <c r="J133" i="2"/>
  <c r="J134" i="2" a="1"/>
  <c r="J134" i="2" s="1"/>
  <c r="J135" i="2" a="1"/>
  <c r="J135" i="2" s="1"/>
  <c r="J136" i="2" a="1"/>
  <c r="J136" i="2" s="1"/>
  <c r="J137" i="2" a="1"/>
  <c r="J137" i="2"/>
  <c r="J138" i="2" a="1"/>
  <c r="J138" i="2" s="1"/>
  <c r="J139" i="2" a="1"/>
  <c r="J139" i="2" s="1"/>
  <c r="J140" i="2" a="1"/>
  <c r="J140" i="2" s="1"/>
  <c r="J141" i="2" a="1"/>
  <c r="J141" i="2"/>
  <c r="J117" i="2" a="1"/>
  <c r="J117" i="2" s="1"/>
  <c r="I118" i="2" a="1"/>
  <c r="I118" i="2"/>
  <c r="I119" i="2" a="1"/>
  <c r="I119" i="2" s="1"/>
  <c r="I120" i="2" a="1"/>
  <c r="I120" i="2" s="1"/>
  <c r="I121" i="2" a="1"/>
  <c r="I121" i="2"/>
  <c r="I122" i="2" a="1"/>
  <c r="I122" i="2"/>
  <c r="I123" i="2" a="1"/>
  <c r="I123" i="2" s="1"/>
  <c r="I124" i="2" a="1"/>
  <c r="I124" i="2" s="1"/>
  <c r="I125" i="2" a="1"/>
  <c r="I125" i="2"/>
  <c r="I126" i="2" a="1"/>
  <c r="I126" i="2"/>
  <c r="I127" i="2" a="1"/>
  <c r="I127" i="2" s="1"/>
  <c r="I128" i="2" a="1"/>
  <c r="I128" i="2" s="1"/>
  <c r="I129" i="2" a="1"/>
  <c r="I129" i="2"/>
  <c r="I130" i="2" a="1"/>
  <c r="I130" i="2"/>
  <c r="I131" i="2" a="1"/>
  <c r="I131" i="2" s="1"/>
  <c r="I132" i="2" a="1"/>
  <c r="I132" i="2" s="1"/>
  <c r="I133" i="2" a="1"/>
  <c r="I133" i="2"/>
  <c r="I134" i="2" a="1"/>
  <c r="I134" i="2"/>
  <c r="I135" i="2" a="1"/>
  <c r="I135" i="2" s="1"/>
  <c r="I136" i="2" a="1"/>
  <c r="I136" i="2" s="1"/>
  <c r="I137" i="2" a="1"/>
  <c r="I137" i="2"/>
  <c r="I138" i="2" a="1"/>
  <c r="I138" i="2"/>
  <c r="I139" i="2" a="1"/>
  <c r="I139" i="2" s="1"/>
  <c r="I140" i="2" a="1"/>
  <c r="I140" i="2" s="1"/>
  <c r="I141" i="2" a="1"/>
  <c r="I141" i="2"/>
  <c r="H118" i="2" a="1"/>
  <c r="H118" i="2"/>
  <c r="H119" i="2" a="1"/>
  <c r="H119" i="2" s="1"/>
  <c r="H120" i="2" a="1"/>
  <c r="H120" i="2" s="1"/>
  <c r="H121" i="2" a="1"/>
  <c r="H121" i="2"/>
  <c r="H122" i="2" a="1"/>
  <c r="H122" i="2"/>
  <c r="H123" i="2" a="1"/>
  <c r="H123" i="2" s="1"/>
  <c r="H124" i="2" a="1"/>
  <c r="H124" i="2" s="1"/>
  <c r="H125" i="2" a="1"/>
  <c r="H125" i="2"/>
  <c r="H126" i="2" a="1"/>
  <c r="H126" i="2"/>
  <c r="H127" i="2" a="1"/>
  <c r="H127" i="2" s="1"/>
  <c r="H128" i="2" a="1"/>
  <c r="H128" i="2" s="1"/>
  <c r="H129" i="2" a="1"/>
  <c r="H129" i="2"/>
  <c r="H130" i="2" a="1"/>
  <c r="H130" i="2"/>
  <c r="H131" i="2" a="1"/>
  <c r="H131" i="2" s="1"/>
  <c r="H132" i="2" a="1"/>
  <c r="H132" i="2" s="1"/>
  <c r="H133" i="2" a="1"/>
  <c r="H133" i="2"/>
  <c r="H134" i="2" a="1"/>
  <c r="H134" i="2"/>
  <c r="H135" i="2" a="1"/>
  <c r="H135" i="2" s="1"/>
  <c r="H136" i="2" a="1"/>
  <c r="H136" i="2" s="1"/>
  <c r="H137" i="2" a="1"/>
  <c r="H137" i="2"/>
  <c r="H138" i="2" a="1"/>
  <c r="H138" i="2"/>
  <c r="H139" i="2" a="1"/>
  <c r="H139" i="2" s="1"/>
  <c r="H140" i="2" a="1"/>
  <c r="H140" i="2" s="1"/>
  <c r="H141" i="2" a="1"/>
  <c r="H141" i="2"/>
  <c r="H117" i="2" a="1"/>
  <c r="H117" i="2" s="1"/>
  <c r="Z83" i="2"/>
  <c r="W79" i="2" a="1"/>
  <c r="W79" i="2" s="1"/>
  <c r="W82" i="2" s="1" a="1"/>
  <c r="W82" i="2" s="1"/>
  <c r="AE101" i="2"/>
  <c r="S92" i="2"/>
  <c r="R93" i="2"/>
  <c r="F64" i="2"/>
  <c r="S93" i="2" s="1"/>
  <c r="C63" i="2"/>
  <c r="C64" i="2"/>
  <c r="C65" i="2"/>
  <c r="C66" i="2"/>
  <c r="C67" i="2"/>
  <c r="C68" i="2"/>
  <c r="C71" i="2"/>
  <c r="C72" i="2"/>
  <c r="C73" i="2"/>
  <c r="C74" i="2"/>
  <c r="C75" i="2"/>
  <c r="C76" i="2"/>
  <c r="C79" i="2"/>
  <c r="C80" i="2"/>
  <c r="C81" i="2"/>
  <c r="C82" i="2"/>
  <c r="C83" i="2"/>
  <c r="C84" i="2"/>
  <c r="B86" i="2"/>
  <c r="C61" i="2" s="1"/>
  <c r="N50" i="2"/>
  <c r="N49" i="2"/>
  <c r="N48" i="2"/>
  <c r="M11" i="2"/>
  <c r="H17" i="2"/>
  <c r="H24" i="2"/>
  <c r="M24" i="2" s="1"/>
  <c r="H25" i="2"/>
  <c r="D29" i="2"/>
  <c r="I4" i="2" s="1"/>
  <c r="C29" i="2"/>
  <c r="H11" i="2" s="1"/>
  <c r="B29" i="2"/>
  <c r="G10" i="2" s="1"/>
  <c r="L10" i="2" s="1"/>
  <c r="R56" i="1"/>
  <c r="R57" i="1"/>
  <c r="R55" i="1"/>
  <c r="Q56" i="1"/>
  <c r="Q57" i="1"/>
  <c r="Q55" i="1"/>
  <c r="T51" i="1"/>
  <c r="S56" i="1"/>
  <c r="S57" i="1"/>
  <c r="S55" i="1"/>
  <c r="P56" i="1"/>
  <c r="P57" i="1"/>
  <c r="P55" i="1"/>
  <c r="O57" i="1"/>
  <c r="O56" i="1"/>
  <c r="O55" i="1"/>
  <c r="N57" i="1"/>
  <c r="N56" i="1"/>
  <c r="N55" i="1"/>
  <c r="M57" i="1"/>
  <c r="M56" i="1"/>
  <c r="M55" i="1"/>
  <c r="P48" i="1"/>
  <c r="O47" i="1"/>
  <c r="N46" i="1"/>
  <c r="N43" i="1"/>
  <c r="O43" i="1"/>
  <c r="P43" i="1"/>
  <c r="N44" i="1"/>
  <c r="O44" i="1"/>
  <c r="P44" i="1"/>
  <c r="O42" i="1"/>
  <c r="P42" i="1"/>
  <c r="N42" i="1"/>
  <c r="N39" i="1"/>
  <c r="N37" i="1" a="1"/>
  <c r="N37" i="1" s="1"/>
  <c r="N35" i="1" a="1"/>
  <c r="N35" i="1" s="1"/>
  <c r="R24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37" i="1"/>
  <c r="N30" i="1" a="1"/>
  <c r="N30" i="1" s="1"/>
  <c r="N23" i="1" a="1"/>
  <c r="N23" i="1" s="1"/>
  <c r="N18" i="1" a="1"/>
  <c r="N18" i="1" s="1"/>
  <c r="N12" i="1" a="1"/>
  <c r="N12" i="1" s="1"/>
  <c r="H20" i="4" l="1"/>
  <c r="H12" i="4"/>
  <c r="H4" i="4"/>
  <c r="H2" i="4"/>
  <c r="H19" i="4"/>
  <c r="H11" i="4"/>
  <c r="H3" i="4"/>
  <c r="H10" i="4"/>
  <c r="H9" i="4"/>
  <c r="H24" i="4"/>
  <c r="H16" i="4"/>
  <c r="H8" i="4"/>
  <c r="H7" i="4"/>
  <c r="S94" i="2"/>
  <c r="T93" i="2"/>
  <c r="H16" i="2"/>
  <c r="C78" i="2"/>
  <c r="C70" i="2"/>
  <c r="C62" i="2"/>
  <c r="H9" i="2"/>
  <c r="M25" i="2"/>
  <c r="M17" i="2"/>
  <c r="C60" i="2"/>
  <c r="C77" i="2"/>
  <c r="C69" i="2"/>
  <c r="N4" i="2"/>
  <c r="H8" i="2"/>
  <c r="I25" i="2"/>
  <c r="U25" i="2" s="1"/>
  <c r="G27" i="2"/>
  <c r="L27" i="2" s="1"/>
  <c r="I21" i="2"/>
  <c r="G25" i="2"/>
  <c r="L25" i="2" s="1"/>
  <c r="G17" i="2"/>
  <c r="G9" i="2"/>
  <c r="L9" i="2" s="1"/>
  <c r="H26" i="2"/>
  <c r="H18" i="2"/>
  <c r="H10" i="2"/>
  <c r="I27" i="2"/>
  <c r="I19" i="2"/>
  <c r="I11" i="2"/>
  <c r="U11" i="2" s="1"/>
  <c r="G8" i="2"/>
  <c r="L8" i="2" s="1"/>
  <c r="I18" i="2"/>
  <c r="G15" i="2"/>
  <c r="L15" i="2" s="1"/>
  <c r="G22" i="2"/>
  <c r="L22" i="2" s="1"/>
  <c r="G14" i="2"/>
  <c r="L14" i="2" s="1"/>
  <c r="G6" i="2"/>
  <c r="L6" i="2" s="1"/>
  <c r="H23" i="2"/>
  <c r="H15" i="2"/>
  <c r="H7" i="2"/>
  <c r="I24" i="2"/>
  <c r="I16" i="2"/>
  <c r="I8" i="2"/>
  <c r="G16" i="2"/>
  <c r="L16" i="2" s="1"/>
  <c r="I26" i="2"/>
  <c r="I17" i="2"/>
  <c r="U17" i="2" s="1"/>
  <c r="H14" i="2"/>
  <c r="I7" i="2"/>
  <c r="G21" i="2"/>
  <c r="L21" i="2" s="1"/>
  <c r="G13" i="2"/>
  <c r="L13" i="2" s="1"/>
  <c r="G5" i="2"/>
  <c r="L5" i="2" s="1"/>
  <c r="H22" i="2"/>
  <c r="H6" i="2"/>
  <c r="I23" i="2"/>
  <c r="I15" i="2"/>
  <c r="G3" i="2"/>
  <c r="G20" i="2"/>
  <c r="L20" i="2" s="1"/>
  <c r="G12" i="2"/>
  <c r="L12" i="2" s="1"/>
  <c r="G4" i="2"/>
  <c r="L4" i="2" s="1"/>
  <c r="H21" i="2"/>
  <c r="H13" i="2"/>
  <c r="H5" i="2"/>
  <c r="I22" i="2"/>
  <c r="I14" i="2"/>
  <c r="I6" i="2"/>
  <c r="I5" i="2"/>
  <c r="G24" i="2"/>
  <c r="L24" i="2" s="1"/>
  <c r="I10" i="2"/>
  <c r="G23" i="2"/>
  <c r="L23" i="2" s="1"/>
  <c r="G7" i="2"/>
  <c r="L7" i="2" s="1"/>
  <c r="I9" i="2"/>
  <c r="G19" i="2"/>
  <c r="L19" i="2" s="1"/>
  <c r="G11" i="2"/>
  <c r="L11" i="2" s="1"/>
  <c r="H3" i="2"/>
  <c r="H20" i="2"/>
  <c r="H12" i="2"/>
  <c r="H4" i="2"/>
  <c r="I13" i="2"/>
  <c r="G26" i="2"/>
  <c r="L26" i="2" s="1"/>
  <c r="G18" i="2"/>
  <c r="L18" i="2" s="1"/>
  <c r="H27" i="2"/>
  <c r="H19" i="2"/>
  <c r="I3" i="2"/>
  <c r="I20" i="2"/>
  <c r="I12" i="2"/>
  <c r="G62" i="1"/>
  <c r="M16" i="2" l="1"/>
  <c r="Q16" i="2"/>
  <c r="U16" i="2"/>
  <c r="R3" i="2"/>
  <c r="N3" i="2"/>
  <c r="I29" i="2"/>
  <c r="M20" i="2"/>
  <c r="U20" i="2"/>
  <c r="Q20" i="2"/>
  <c r="R8" i="2"/>
  <c r="N8" i="2"/>
  <c r="Q18" i="2"/>
  <c r="U18" i="2"/>
  <c r="M18" i="2"/>
  <c r="Q24" i="2"/>
  <c r="Q11" i="2"/>
  <c r="R12" i="2"/>
  <c r="N12" i="2"/>
  <c r="Q6" i="2"/>
  <c r="M6" i="2"/>
  <c r="U6" i="2"/>
  <c r="M12" i="2"/>
  <c r="Q12" i="2"/>
  <c r="U12" i="2"/>
  <c r="R103" i="2" a="1"/>
  <c r="R103" i="2" s="1"/>
  <c r="R92" i="2" s="1"/>
  <c r="F61" i="2" a="1"/>
  <c r="F61" i="2" s="1"/>
  <c r="M19" i="2"/>
  <c r="U19" i="2"/>
  <c r="Q19" i="2"/>
  <c r="M3" i="2"/>
  <c r="H29" i="2"/>
  <c r="U3" i="2"/>
  <c r="Q3" i="2"/>
  <c r="Q29" i="2" s="1"/>
  <c r="R5" i="2"/>
  <c r="N5" i="2"/>
  <c r="N16" i="2"/>
  <c r="R16" i="2"/>
  <c r="Q26" i="2"/>
  <c r="U26" i="2"/>
  <c r="M26" i="2"/>
  <c r="Q25" i="2"/>
  <c r="M4" i="2"/>
  <c r="Q4" i="2"/>
  <c r="U4" i="2"/>
  <c r="U13" i="2"/>
  <c r="Q13" i="2"/>
  <c r="M13" i="2"/>
  <c r="R26" i="2"/>
  <c r="N26" i="2"/>
  <c r="R27" i="2"/>
  <c r="N27" i="2"/>
  <c r="R20" i="2"/>
  <c r="N20" i="2"/>
  <c r="R10" i="2"/>
  <c r="N10" i="2"/>
  <c r="Q10" i="2"/>
  <c r="U10" i="2"/>
  <c r="M10" i="2"/>
  <c r="M27" i="2"/>
  <c r="U27" i="2"/>
  <c r="Q27" i="2"/>
  <c r="N6" i="2"/>
  <c r="R6" i="2"/>
  <c r="U24" i="2"/>
  <c r="R24" i="2"/>
  <c r="N24" i="2"/>
  <c r="N18" i="2"/>
  <c r="R18" i="2"/>
  <c r="M8" i="2"/>
  <c r="Q8" i="2"/>
  <c r="U8" i="2"/>
  <c r="R25" i="2"/>
  <c r="N25" i="2"/>
  <c r="N14" i="2"/>
  <c r="R14" i="2"/>
  <c r="L3" i="2"/>
  <c r="L29" i="2" s="1"/>
  <c r="G29" i="2"/>
  <c r="N7" i="2"/>
  <c r="R7" i="2"/>
  <c r="U7" i="2"/>
  <c r="M7" i="2"/>
  <c r="Q7" i="2"/>
  <c r="Q17" i="2"/>
  <c r="L17" i="2"/>
  <c r="U9" i="2"/>
  <c r="Q9" i="2"/>
  <c r="M9" i="2"/>
  <c r="R4" i="2"/>
  <c r="Q21" i="2"/>
  <c r="M21" i="2"/>
  <c r="U21" i="2"/>
  <c r="R9" i="2"/>
  <c r="N9" i="2"/>
  <c r="N22" i="2"/>
  <c r="R22" i="2"/>
  <c r="N15" i="2"/>
  <c r="R15" i="2"/>
  <c r="Q14" i="2"/>
  <c r="M14" i="2"/>
  <c r="U14" i="2"/>
  <c r="U15" i="2"/>
  <c r="Q15" i="2"/>
  <c r="M15" i="2"/>
  <c r="N11" i="2"/>
  <c r="R11" i="2"/>
  <c r="Q22" i="2"/>
  <c r="M22" i="2"/>
  <c r="U22" i="2"/>
  <c r="N13" i="2"/>
  <c r="R13" i="2"/>
  <c r="U5" i="2"/>
  <c r="Q5" i="2"/>
  <c r="M5" i="2"/>
  <c r="N23" i="2"/>
  <c r="R23" i="2"/>
  <c r="N17" i="2"/>
  <c r="R17" i="2"/>
  <c r="U23" i="2"/>
  <c r="M23" i="2"/>
  <c r="Q23" i="2"/>
  <c r="N19" i="2"/>
  <c r="R19" i="2"/>
  <c r="R21" i="2"/>
  <c r="N21" i="2"/>
  <c r="M29" i="2" l="1"/>
  <c r="N29" i="2"/>
  <c r="R29" i="2"/>
  <c r="M34" i="2" s="1"/>
  <c r="U29" i="2"/>
  <c r="P34" i="2" s="1"/>
  <c r="J34" i="2"/>
  <c r="I63" i="2"/>
  <c r="I68" i="2"/>
  <c r="T92" i="2"/>
  <c r="U92" i="2" s="1"/>
  <c r="V92" i="2" s="1"/>
  <c r="R9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<sst xmlns="http://schemas.openxmlformats.org/spreadsheetml/2006/main" count="226" uniqueCount="153">
  <si>
    <t>Datos de asociaciones de ahorro y crédito inmobiliario</t>
  </si>
  <si>
    <t>Se tienen 25 observaciones de datos para estimar el margen anual de beneficios</t>
  </si>
  <si>
    <t>Año</t>
  </si>
  <si>
    <t>Margen de Beneficios</t>
  </si>
  <si>
    <t>Ingreso anual por dolár</t>
  </si>
  <si>
    <t>No de oficinas</t>
  </si>
  <si>
    <t>x1</t>
  </si>
  <si>
    <t>x2</t>
  </si>
  <si>
    <t>X</t>
  </si>
  <si>
    <t>X'</t>
  </si>
  <si>
    <t>X'X</t>
  </si>
  <si>
    <t>25x3</t>
  </si>
  <si>
    <t>3X25</t>
  </si>
  <si>
    <t>N datos</t>
  </si>
  <si>
    <t>(X'X)^1</t>
  </si>
  <si>
    <t>X'Y</t>
  </si>
  <si>
    <t xml:space="preserve"> Estos son los parametros de la regresion</t>
  </si>
  <si>
    <t>Y estimada</t>
  </si>
  <si>
    <t>B0</t>
  </si>
  <si>
    <t>B1</t>
  </si>
  <si>
    <t>B2</t>
  </si>
  <si>
    <t>Yestimada - Y verdadera e</t>
  </si>
  <si>
    <t>e'e</t>
  </si>
  <si>
    <t>n</t>
  </si>
  <si>
    <t>k</t>
  </si>
  <si>
    <t>parametros</t>
  </si>
  <si>
    <t>e'</t>
  </si>
  <si>
    <t>sigma^2</t>
  </si>
  <si>
    <t>Varianza</t>
  </si>
  <si>
    <t>sigma^2 * (X'X)^-1</t>
  </si>
  <si>
    <t>EE</t>
  </si>
  <si>
    <t>SQRT(Varianza)</t>
  </si>
  <si>
    <t xml:space="preserve">Prueba T </t>
  </si>
  <si>
    <t>Coeficientes</t>
  </si>
  <si>
    <t>E. Éstandar</t>
  </si>
  <si>
    <t>T</t>
  </si>
  <si>
    <t>Significancia</t>
  </si>
  <si>
    <t>Lim inf</t>
  </si>
  <si>
    <t>Lim sup</t>
  </si>
  <si>
    <t>Prueba T a 95% de confianza (alpha = 5) con N-K = 25 - 3 = 22 grados de libertad.</t>
  </si>
  <si>
    <t>La prueba T sirve para ver LA EXISTENCIA DE REGRESIÓN</t>
  </si>
  <si>
    <t>h0: B0 = B1 = B2 = 0 vs Ha: Bi != 0</t>
  </si>
  <si>
    <t>y</t>
  </si>
  <si>
    <t>Promedio</t>
  </si>
  <si>
    <t>y^2</t>
  </si>
  <si>
    <t>x1^2</t>
  </si>
  <si>
    <t>x1y</t>
  </si>
  <si>
    <t>x2y</t>
  </si>
  <si>
    <t>x2^2</t>
  </si>
  <si>
    <t>x1x2</t>
  </si>
  <si>
    <t>sumas</t>
  </si>
  <si>
    <t>ryx1</t>
  </si>
  <si>
    <t>ryx2</t>
  </si>
  <si>
    <t>rx1x2</t>
  </si>
  <si>
    <t>Matreiz de correlaciones</t>
  </si>
  <si>
    <t>Y</t>
  </si>
  <si>
    <t>r12</t>
  </si>
  <si>
    <t>r13</t>
  </si>
  <si>
    <t>r23</t>
  </si>
  <si>
    <t>r12.3</t>
  </si>
  <si>
    <t>r13.2</t>
  </si>
  <si>
    <t>r23.1</t>
  </si>
  <si>
    <t>y'</t>
  </si>
  <si>
    <t>y'y</t>
  </si>
  <si>
    <t>R^2</t>
  </si>
  <si>
    <t xml:space="preserve"> Esta no se realiza pues se estaría excluyendo Y</t>
  </si>
  <si>
    <t>R^2 ajustado</t>
  </si>
  <si>
    <t xml:space="preserve">n </t>
  </si>
  <si>
    <t>ANOVA</t>
  </si>
  <si>
    <t>Fuente de variacion</t>
  </si>
  <si>
    <t>Suma de cuadrados</t>
  </si>
  <si>
    <t>Grados de libertad</t>
  </si>
  <si>
    <t>Cuadrados medios</t>
  </si>
  <si>
    <t>Estadistica F (k-1,n-k)</t>
  </si>
  <si>
    <t>B'</t>
  </si>
  <si>
    <t>X'y</t>
  </si>
  <si>
    <t>B'X'y</t>
  </si>
  <si>
    <t>Modelo de Regresion</t>
  </si>
  <si>
    <t>Residual</t>
  </si>
  <si>
    <t>Total</t>
  </si>
  <si>
    <t>P-valor</t>
  </si>
  <si>
    <t>H0: B0=B1=B2 Vs Ha: al menos una distinta de cero</t>
  </si>
  <si>
    <t xml:space="preserve">Se rechaza la hipótesis nula </t>
  </si>
  <si>
    <t>Al menos una de ella es distinta de cero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</si>
  <si>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</si>
  <si>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</si>
  <si>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</si>
  <si>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</si>
  <si>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</si>
  <si>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</si>
  <si>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</si>
  <si>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Regression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</si>
  <si>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</si>
  <si>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</si>
  <si>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</si>
  <si>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</si>
  <si>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</si>
  <si>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</si>
  <si>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</si>
  <si>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</si>
  <si>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</si>
  <si>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</si>
  <si>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</si>
  <si>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</si>
  <si>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</si>
  <si>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PREDICCIÖN</t>
  </si>
  <si>
    <t>c</t>
  </si>
  <si>
    <t>ingresos</t>
  </si>
  <si>
    <t>Gastos</t>
  </si>
  <si>
    <t>Valor a predecir</t>
  </si>
  <si>
    <t>c'(X'X)^-1</t>
  </si>
  <si>
    <t>c'(X'X)^-1c</t>
  </si>
  <si>
    <t>t.975 22gl</t>
  </si>
  <si>
    <t>Valor Medio</t>
  </si>
  <si>
    <t>Lim Sup</t>
  </si>
  <si>
    <t>Valor puntual</t>
  </si>
  <si>
    <t>Lim inf Medio Y</t>
  </si>
  <si>
    <t>Lim Sup Medio Y</t>
  </si>
  <si>
    <t>Lim Inf Puntual</t>
  </si>
  <si>
    <t>Lim Sup Puntual</t>
  </si>
  <si>
    <t/>
  </si>
  <si>
    <t>e^2</t>
  </si>
  <si>
    <t>sigma</t>
  </si>
  <si>
    <t>Residuales estandarizados</t>
  </si>
  <si>
    <t>X(X'X)^1</t>
  </si>
  <si>
    <t>X(X'X)^1X'</t>
  </si>
  <si>
    <t>Sei</t>
  </si>
  <si>
    <t>Hat</t>
  </si>
  <si>
    <t>Leverage</t>
  </si>
  <si>
    <t xml:space="preserve">Ninguno es mayor a .24 </t>
  </si>
  <si>
    <t>No hay ningun valor que esté más arriba de 2 en valor absoluto, no hay atípicos.</t>
  </si>
  <si>
    <t>e vs variables independientes</t>
  </si>
  <si>
    <t>e estandariazados vs variables independientes</t>
  </si>
  <si>
    <t>e estudentizados vs variables independientes</t>
  </si>
  <si>
    <t>Distancia de Cook</t>
  </si>
  <si>
    <t>Todas las distancias que se pasen del leverage son puntos que estan muy alejados</t>
  </si>
  <si>
    <t>Distancia Mahalanobis</t>
  </si>
  <si>
    <t>Chi para Mahalanobis</t>
  </si>
  <si>
    <t>DELTA BETA</t>
  </si>
  <si>
    <t>COOK, MAHALANOBIS, DELTA Y DELTA BETA</t>
  </si>
  <si>
    <t>COOK</t>
  </si>
  <si>
    <t>Recordando que leverage = .24, se nota que solamente existe un valor (rojo) mayor al valor, lo cual lo hace sujeto de análisis</t>
  </si>
  <si>
    <t>MAHALANOBIS</t>
  </si>
  <si>
    <t>Ningun valor de Mahalanobis es mayor al valor del estadistico chi</t>
  </si>
  <si>
    <t>por lo tanto, esta opción si descarta el valor rojo de cook.</t>
  </si>
  <si>
    <t>y no da inidicios de tener que analizar algun valor</t>
  </si>
  <si>
    <t>DELTA FIT</t>
  </si>
  <si>
    <t xml:space="preserve">Aquí no se contrasta contra un valor en especifico. Grado de cambio </t>
  </si>
  <si>
    <t>si es que el registro  fuera eliminada del modelo</t>
  </si>
  <si>
    <t xml:space="preserve">Comparar contra </t>
  </si>
  <si>
    <t>Columna que salio de hacer las operaciones correspondientes en EJERCICIO</t>
  </si>
  <si>
    <t>Todos son mas pequeños que .4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</si>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</sst>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000E+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3" fontId="0" fillId="0" borderId="0" xfId="1" applyNumberFormat="1" applyFont="1"/>
    <xf numFmtId="164" fontId="0" fillId="0" borderId="0" xfId="1" applyNumberFormat="1" applyFont="1"/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Border="1"/>
    <xf numFmtId="43" fontId="0" fillId="0" borderId="2" xfId="1" applyNumberFormat="1" applyFont="1" applyBorder="1"/>
    <xf numFmtId="164" fontId="0" fillId="0" borderId="2" xfId="1" applyNumberFormat="1" applyFont="1" applyBorder="1"/>
    <xf numFmtId="0" fontId="0" fillId="3" borderId="2" xfId="0" applyFill="1" applyBorder="1"/>
    <xf numFmtId="0" fontId="2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3" fontId="0" fillId="0" borderId="2" xfId="0" applyNumberFormat="1" applyBorder="1"/>
    <xf numFmtId="43" fontId="0" fillId="0" borderId="0" xfId="0" applyNumberFormat="1"/>
    <xf numFmtId="0" fontId="0" fillId="4" borderId="0" xfId="0" applyFill="1"/>
    <xf numFmtId="0" fontId="2" fillId="4" borderId="0" xfId="0" applyFont="1" applyFill="1"/>
    <xf numFmtId="0" fontId="2" fillId="0" borderId="0" xfId="0" applyFont="1"/>
    <xf numFmtId="43" fontId="0" fillId="3" borderId="0" xfId="0" applyNumberFormat="1" applyFill="1"/>
    <xf numFmtId="0" fontId="0" fillId="0" borderId="0" xfId="0" applyAlignment="1"/>
    <xf numFmtId="0" fontId="0" fillId="5" borderId="2" xfId="0" applyFill="1" applyBorder="1"/>
    <xf numFmtId="0" fontId="3" fillId="0" borderId="0" xfId="0" applyFont="1"/>
    <xf numFmtId="0" fontId="3" fillId="0" borderId="2" xfId="0" applyFont="1" applyBorder="1"/>
    <xf numFmtId="0" fontId="4" fillId="0" borderId="0" xfId="0" applyFont="1"/>
    <xf numFmtId="0" fontId="0" fillId="0" borderId="2" xfId="0" applyBorder="1" applyAlignment="1">
      <alignment wrapText="1"/>
    </xf>
    <xf numFmtId="0" fontId="2" fillId="6" borderId="0" xfId="0" applyFont="1" applyFill="1"/>
    <xf numFmtId="0" fontId="0" fillId="0" borderId="0" xfId="0" applyFill="1" applyBorder="1" applyAlignment="1"/>
    <xf numFmtId="0" fontId="0" fillId="0" borderId="4" xfId="0" applyFill="1" applyBorder="1" applyAlignment="1"/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Continuous"/>
    </xf>
    <xf numFmtId="0" fontId="6" fillId="0" borderId="0" xfId="0" applyFon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2" fillId="6" borderId="0" xfId="0" quotePrefix="1" applyFont="1" applyFill="1"/>
    <xf numFmtId="0" fontId="8" fillId="8" borderId="2" xfId="0" applyFont="1" applyFill="1" applyBorder="1"/>
    <xf numFmtId="0" fontId="8" fillId="8" borderId="0" xfId="0" applyFont="1" applyFill="1"/>
    <xf numFmtId="0" fontId="2" fillId="2" borderId="0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/>
    </xf>
    <xf numFmtId="0" fontId="0" fillId="3" borderId="0" xfId="0" applyFill="1"/>
    <xf numFmtId="165" fontId="0" fillId="0" borderId="2" xfId="0" applyNumberFormat="1" applyBorder="1"/>
    <xf numFmtId="0" fontId="8" fillId="10" borderId="2" xfId="0" applyFont="1" applyFill="1" applyBorder="1"/>
    <xf numFmtId="0" fontId="8" fillId="8" borderId="6" xfId="0" applyFont="1" applyFill="1" applyBorder="1"/>
    <xf numFmtId="0" fontId="0" fillId="14" borderId="0" xfId="0" applyFill="1"/>
    <xf numFmtId="0" fontId="0" fillId="0" borderId="0" xfId="0" applyAlignment="1">
      <alignment vertical="top" wrapText="1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8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Ejercicio!$C$36</c:f>
              <c:strCache>
                <c:ptCount val="1"/>
                <c:pt idx="0">
                  <c:v>Margen de Beneficios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Ejercicio!$B$37:$B$61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Ejercicio!$C$37:$C$61</c:f>
              <c:numCache>
                <c:formatCode>_(* #,##0.00_);_(* \(#,##0.00\);_(* "-"??_);_(@_)</c:formatCode>
                <c:ptCount val="25"/>
                <c:pt idx="0">
                  <c:v>0.75</c:v>
                </c:pt>
                <c:pt idx="1">
                  <c:v>0.71</c:v>
                </c:pt>
                <c:pt idx="2">
                  <c:v>0.66</c:v>
                </c:pt>
                <c:pt idx="3">
                  <c:v>0.61</c:v>
                </c:pt>
                <c:pt idx="4">
                  <c:v>0.7</c:v>
                </c:pt>
                <c:pt idx="5">
                  <c:v>0.72</c:v>
                </c:pt>
                <c:pt idx="6">
                  <c:v>0.77</c:v>
                </c:pt>
                <c:pt idx="7">
                  <c:v>0.74</c:v>
                </c:pt>
                <c:pt idx="8">
                  <c:v>0.9</c:v>
                </c:pt>
                <c:pt idx="9">
                  <c:v>0.82</c:v>
                </c:pt>
                <c:pt idx="10">
                  <c:v>0.75</c:v>
                </c:pt>
                <c:pt idx="11">
                  <c:v>0.77</c:v>
                </c:pt>
                <c:pt idx="12">
                  <c:v>0.78</c:v>
                </c:pt>
                <c:pt idx="13">
                  <c:v>0.84</c:v>
                </c:pt>
                <c:pt idx="14">
                  <c:v>0.79</c:v>
                </c:pt>
                <c:pt idx="15">
                  <c:v>0.7</c:v>
                </c:pt>
                <c:pt idx="16">
                  <c:v>0.68</c:v>
                </c:pt>
                <c:pt idx="17">
                  <c:v>0.72</c:v>
                </c:pt>
                <c:pt idx="18">
                  <c:v>0.55000000000000004</c:v>
                </c:pt>
                <c:pt idx="19">
                  <c:v>0.63</c:v>
                </c:pt>
                <c:pt idx="20">
                  <c:v>0.56000000000000005</c:v>
                </c:pt>
                <c:pt idx="21">
                  <c:v>0.41</c:v>
                </c:pt>
                <c:pt idx="22">
                  <c:v>0.51</c:v>
                </c:pt>
                <c:pt idx="23">
                  <c:v>0.47</c:v>
                </c:pt>
                <c:pt idx="24">
                  <c:v>0.32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39-491B-BB3D-A067CDF5966C}"/>
            </c:ext>
          </c:extLst>
        </c:ser>
        <c:ser>
          <c:idx val="1"/>
          <c:order val="1"/>
          <c:tx>
            <c:strRef>
              <c:f>Ejercicio!$F$36</c:f>
              <c:strCache>
                <c:ptCount val="1"/>
                <c:pt idx="0">
                  <c:v>Y estimada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Ejercicio!$B$37:$B$61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Ejercicio!$F$37:$F$61</c:f>
              <c:numCache>
                <c:formatCode>_(* #,##0.00_);_(* \(#,##0.00\);_(* "-"??_);_(@_)</c:formatCode>
                <c:ptCount val="25"/>
                <c:pt idx="0">
                  <c:v>0.67653025707435455</c:v>
                </c:pt>
                <c:pt idx="1">
                  <c:v>0.71334116273436465</c:v>
                </c:pt>
                <c:pt idx="2">
                  <c:v>0.69910225825011874</c:v>
                </c:pt>
                <c:pt idx="3">
                  <c:v>0.67218319647365332</c:v>
                </c:pt>
                <c:pt idx="4">
                  <c:v>0.6837596616354964</c:v>
                </c:pt>
                <c:pt idx="5">
                  <c:v>0.70757534101509489</c:v>
                </c:pt>
                <c:pt idx="6">
                  <c:v>0.73976378415933297</c:v>
                </c:pt>
                <c:pt idx="7">
                  <c:v>0.75859787785668642</c:v>
                </c:pt>
                <c:pt idx="8">
                  <c:v>0.79430776027475236</c:v>
                </c:pt>
                <c:pt idx="9">
                  <c:v>0.79356052242241559</c:v>
                </c:pt>
                <c:pt idx="10">
                  <c:v>0.79843473311073176</c:v>
                </c:pt>
                <c:pt idx="11">
                  <c:v>0.82727777056758267</c:v>
                </c:pt>
                <c:pt idx="12">
                  <c:v>0.80216653526725556</c:v>
                </c:pt>
                <c:pt idx="13">
                  <c:v>0.79924624245042097</c:v>
                </c:pt>
                <c:pt idx="14">
                  <c:v>0.75443485750772288</c:v>
                </c:pt>
                <c:pt idx="15">
                  <c:v>0.73397163980910407</c:v>
                </c:pt>
                <c:pt idx="16">
                  <c:v>0.70488657906173291</c:v>
                </c:pt>
                <c:pt idx="17">
                  <c:v>0.69303376131311389</c:v>
                </c:pt>
                <c:pt idx="18">
                  <c:v>0.63508983290497989</c:v>
                </c:pt>
                <c:pt idx="19">
                  <c:v>0.61271846972988708</c:v>
                </c:pt>
                <c:pt idx="20">
                  <c:v>0.57012152504153502</c:v>
                </c:pt>
                <c:pt idx="21">
                  <c:v>0.47963708631628243</c:v>
                </c:pt>
                <c:pt idx="22">
                  <c:v>0.43748108470239533</c:v>
                </c:pt>
                <c:pt idx="23">
                  <c:v>0.39539812878617964</c:v>
                </c:pt>
                <c:pt idx="24">
                  <c:v>0.37737993153367499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39-491B-BB3D-A067CDF59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624607"/>
        <c:axId val="2025615871"/>
      </c:scatterChart>
      <c:valAx>
        <c:axId val="2025624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25615871"/>
        <c:crosses val="autoZero"/>
        <c:crossBetween val="midCat"/>
      </c:valAx>
      <c:valAx>
        <c:axId val="202561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25624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'Continuacion 1'!$G$117:$G$141</c:f>
              <c:numCache>
                <c:formatCode>General</c:formatCode>
                <c:ptCount val="25"/>
                <c:pt idx="0">
                  <c:v>0.67653025707435455</c:v>
                </c:pt>
                <c:pt idx="1">
                  <c:v>0.71334116273436465</c:v>
                </c:pt>
                <c:pt idx="2">
                  <c:v>0.69910225825011874</c:v>
                </c:pt>
                <c:pt idx="3">
                  <c:v>0.67218319647365332</c:v>
                </c:pt>
                <c:pt idx="4">
                  <c:v>0.6837596616354964</c:v>
                </c:pt>
                <c:pt idx="5">
                  <c:v>0.70757534101509489</c:v>
                </c:pt>
                <c:pt idx="6">
                  <c:v>0.73976378415933297</c:v>
                </c:pt>
                <c:pt idx="7">
                  <c:v>0.75859787785668642</c:v>
                </c:pt>
                <c:pt idx="8">
                  <c:v>0.79430776027475236</c:v>
                </c:pt>
                <c:pt idx="9">
                  <c:v>0.79356052242241559</c:v>
                </c:pt>
                <c:pt idx="10">
                  <c:v>0.79843473311073176</c:v>
                </c:pt>
                <c:pt idx="11">
                  <c:v>0.82727777056758267</c:v>
                </c:pt>
                <c:pt idx="12">
                  <c:v>0.80216653526725556</c:v>
                </c:pt>
                <c:pt idx="13">
                  <c:v>0.79924624245042097</c:v>
                </c:pt>
                <c:pt idx="14">
                  <c:v>0.75443485750772288</c:v>
                </c:pt>
                <c:pt idx="15">
                  <c:v>0.73397163980910407</c:v>
                </c:pt>
                <c:pt idx="16">
                  <c:v>0.70488657906173291</c:v>
                </c:pt>
                <c:pt idx="17">
                  <c:v>0.69303376131311389</c:v>
                </c:pt>
                <c:pt idx="18">
                  <c:v>0.63508983290497989</c:v>
                </c:pt>
                <c:pt idx="19">
                  <c:v>0.61271846972988708</c:v>
                </c:pt>
                <c:pt idx="20">
                  <c:v>0.57012152504153502</c:v>
                </c:pt>
                <c:pt idx="21">
                  <c:v>0.47963708631628243</c:v>
                </c:pt>
                <c:pt idx="22">
                  <c:v>0.43748108470239533</c:v>
                </c:pt>
                <c:pt idx="23">
                  <c:v>0.39539812878617964</c:v>
                </c:pt>
                <c:pt idx="24">
                  <c:v>0.37737993153367499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3B-43EB-8978-0EB9DC06A7B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'Continuacion 1'!$K$117:$K$141</c:f>
              <c:numCache>
                <c:formatCode>General</c:formatCode>
                <c:ptCount val="25"/>
                <c:pt idx="0">
                  <c:v>0.6539870711818786</c:v>
                </c:pt>
                <c:pt idx="1">
                  <c:v>0.68927110058171992</c:v>
                </c:pt>
                <c:pt idx="2">
                  <c:v>0.66406517884390692</c:v>
                </c:pt>
                <c:pt idx="3">
                  <c:v>0.62007561667612443</c:v>
                </c:pt>
                <c:pt idx="4">
                  <c:v>0.63319830928329834</c:v>
                </c:pt>
                <c:pt idx="5">
                  <c:v>0.6635309762006093</c:v>
                </c:pt>
                <c:pt idx="6">
                  <c:v>0.70436274124556419</c:v>
                </c:pt>
                <c:pt idx="7">
                  <c:v>0.7262992949807423</c:v>
                </c:pt>
                <c:pt idx="8">
                  <c:v>0.7638269938038279</c:v>
                </c:pt>
                <c:pt idx="9">
                  <c:v>0.76316050697193505</c:v>
                </c:pt>
                <c:pt idx="10">
                  <c:v>0.7674840998005652</c:v>
                </c:pt>
                <c:pt idx="11">
                  <c:v>0.78970407125335007</c:v>
                </c:pt>
                <c:pt idx="12">
                  <c:v>0.76768908677974468</c:v>
                </c:pt>
                <c:pt idx="13">
                  <c:v>0.76187561146060168</c:v>
                </c:pt>
                <c:pt idx="14">
                  <c:v>0.72470052739404311</c:v>
                </c:pt>
                <c:pt idx="15">
                  <c:v>0.70304143191943136</c:v>
                </c:pt>
                <c:pt idx="16">
                  <c:v>0.67521436096572618</c:v>
                </c:pt>
                <c:pt idx="17">
                  <c:v>0.65767325367303875</c:v>
                </c:pt>
                <c:pt idx="18">
                  <c:v>0.60083703304134373</c:v>
                </c:pt>
                <c:pt idx="19">
                  <c:v>0.57729365947517197</c:v>
                </c:pt>
                <c:pt idx="20">
                  <c:v>0.52906551807207003</c:v>
                </c:pt>
                <c:pt idx="21">
                  <c:v>0.43890375022533751</c:v>
                </c:pt>
                <c:pt idx="22">
                  <c:v>0.39056367954300725</c:v>
                </c:pt>
                <c:pt idx="23">
                  <c:v>0.34168169344036015</c:v>
                </c:pt>
                <c:pt idx="24">
                  <c:v>0.32084703153481492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3B-43EB-8978-0EB9DC06A7B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'Continuacion 1'!$L$117:$L$141</c:f>
              <c:numCache>
                <c:formatCode>General</c:formatCode>
                <c:ptCount val="25"/>
                <c:pt idx="0">
                  <c:v>0.69907344296683049</c:v>
                </c:pt>
                <c:pt idx="1">
                  <c:v>0.73741122488700939</c:v>
                </c:pt>
                <c:pt idx="2">
                  <c:v>0.73413933765633055</c:v>
                </c:pt>
                <c:pt idx="3">
                  <c:v>0.72429077627118221</c:v>
                </c:pt>
                <c:pt idx="4">
                  <c:v>0.73432101398769445</c:v>
                </c:pt>
                <c:pt idx="5">
                  <c:v>0.75161970582958049</c:v>
                </c:pt>
                <c:pt idx="6">
                  <c:v>0.77516482707310175</c:v>
                </c:pt>
                <c:pt idx="7">
                  <c:v>0.79089646073263054</c:v>
                </c:pt>
                <c:pt idx="8">
                  <c:v>0.82478852674567682</c:v>
                </c:pt>
                <c:pt idx="9">
                  <c:v>0.82396053787289614</c:v>
                </c:pt>
                <c:pt idx="10">
                  <c:v>0.82938536642089833</c:v>
                </c:pt>
                <c:pt idx="11">
                  <c:v>0.86485146988181527</c:v>
                </c:pt>
                <c:pt idx="12">
                  <c:v>0.83664398375476645</c:v>
                </c:pt>
                <c:pt idx="13">
                  <c:v>0.83661687344024027</c:v>
                </c:pt>
                <c:pt idx="14">
                  <c:v>0.78416918762140264</c:v>
                </c:pt>
                <c:pt idx="15">
                  <c:v>0.76490184769877678</c:v>
                </c:pt>
                <c:pt idx="16">
                  <c:v>0.73455879715773964</c:v>
                </c:pt>
                <c:pt idx="17">
                  <c:v>0.72839426895318904</c:v>
                </c:pt>
                <c:pt idx="18">
                  <c:v>0.66934263276861605</c:v>
                </c:pt>
                <c:pt idx="19">
                  <c:v>0.64814327998460219</c:v>
                </c:pt>
                <c:pt idx="20">
                  <c:v>0.611177532011</c:v>
                </c:pt>
                <c:pt idx="21">
                  <c:v>0.52037042240722742</c:v>
                </c:pt>
                <c:pt idx="22">
                  <c:v>0.48439848986178341</c:v>
                </c:pt>
                <c:pt idx="23">
                  <c:v>0.44911456413199913</c:v>
                </c:pt>
                <c:pt idx="24">
                  <c:v>0.43391283153253507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3B-43EB-8978-0EB9DC06A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3332160"/>
        <c:axId val="1733318848"/>
      </c:lineChart>
      <c:catAx>
        <c:axId val="1733332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3318848"/>
        <c:crosses val="autoZero"/>
        <c:auto val="1"/>
        <c:lblAlgn val="ctr"/>
        <c:lblOffset val="100"/>
        <c:noMultiLvlLbl val="0"/>
      </c:catAx>
      <c:valAx>
        <c:axId val="173331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333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'Continuacion 1'!$C$117:$C$141</c:f>
              <c:numCache>
                <c:formatCode>General</c:formatCode>
                <c:ptCount val="25"/>
                <c:pt idx="0">
                  <c:v>0.75</c:v>
                </c:pt>
                <c:pt idx="1">
                  <c:v>0.71</c:v>
                </c:pt>
                <c:pt idx="2">
                  <c:v>0.66</c:v>
                </c:pt>
                <c:pt idx="3">
                  <c:v>0.61</c:v>
                </c:pt>
                <c:pt idx="4">
                  <c:v>0.7</c:v>
                </c:pt>
                <c:pt idx="5">
                  <c:v>0.72</c:v>
                </c:pt>
                <c:pt idx="6">
                  <c:v>0.77</c:v>
                </c:pt>
                <c:pt idx="7">
                  <c:v>0.74</c:v>
                </c:pt>
                <c:pt idx="8">
                  <c:v>0.9</c:v>
                </c:pt>
                <c:pt idx="9">
                  <c:v>0.82</c:v>
                </c:pt>
                <c:pt idx="10">
                  <c:v>0.75</c:v>
                </c:pt>
                <c:pt idx="11">
                  <c:v>0.77</c:v>
                </c:pt>
                <c:pt idx="12">
                  <c:v>0.78</c:v>
                </c:pt>
                <c:pt idx="13">
                  <c:v>0.84</c:v>
                </c:pt>
                <c:pt idx="14">
                  <c:v>0.79</c:v>
                </c:pt>
                <c:pt idx="15">
                  <c:v>0.7</c:v>
                </c:pt>
                <c:pt idx="16">
                  <c:v>0.68</c:v>
                </c:pt>
                <c:pt idx="17">
                  <c:v>0.72</c:v>
                </c:pt>
                <c:pt idx="18">
                  <c:v>0.55000000000000004</c:v>
                </c:pt>
                <c:pt idx="19">
                  <c:v>0.63</c:v>
                </c:pt>
                <c:pt idx="20">
                  <c:v>0.56000000000000005</c:v>
                </c:pt>
                <c:pt idx="21">
                  <c:v>0.41</c:v>
                </c:pt>
                <c:pt idx="22">
                  <c:v>0.51</c:v>
                </c:pt>
                <c:pt idx="23">
                  <c:v>0.47</c:v>
                </c:pt>
                <c:pt idx="24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DC-4FEE-96B1-3CED3A610B3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'Continuacion 1'!$I$117:$I$141</c:f>
              <c:numCache>
                <c:formatCode>General</c:formatCode>
                <c:ptCount val="25"/>
                <c:pt idx="0">
                  <c:v>0.6539870711818786</c:v>
                </c:pt>
                <c:pt idx="1">
                  <c:v>0.68927110058171992</c:v>
                </c:pt>
                <c:pt idx="2">
                  <c:v>0.66406517884390692</c:v>
                </c:pt>
                <c:pt idx="3">
                  <c:v>0.62007561667612443</c:v>
                </c:pt>
                <c:pt idx="4">
                  <c:v>0.63319830928329834</c:v>
                </c:pt>
                <c:pt idx="5">
                  <c:v>0.6635309762006093</c:v>
                </c:pt>
                <c:pt idx="6">
                  <c:v>0.70436274124556419</c:v>
                </c:pt>
                <c:pt idx="7">
                  <c:v>0.7262992949807423</c:v>
                </c:pt>
                <c:pt idx="8">
                  <c:v>0.7638269938038279</c:v>
                </c:pt>
                <c:pt idx="9">
                  <c:v>0.76316050697193505</c:v>
                </c:pt>
                <c:pt idx="10">
                  <c:v>0.7674840998005652</c:v>
                </c:pt>
                <c:pt idx="11">
                  <c:v>0.78970407125335007</c:v>
                </c:pt>
                <c:pt idx="12">
                  <c:v>0.76768908677974468</c:v>
                </c:pt>
                <c:pt idx="13">
                  <c:v>0.76187561146060168</c:v>
                </c:pt>
                <c:pt idx="14">
                  <c:v>0.72470052739404311</c:v>
                </c:pt>
                <c:pt idx="15">
                  <c:v>0.70304143191943136</c:v>
                </c:pt>
                <c:pt idx="16">
                  <c:v>0.67521436096572618</c:v>
                </c:pt>
                <c:pt idx="17">
                  <c:v>0.65767325367303875</c:v>
                </c:pt>
                <c:pt idx="18">
                  <c:v>0.60083703304134373</c:v>
                </c:pt>
                <c:pt idx="19">
                  <c:v>0.57729365947517197</c:v>
                </c:pt>
                <c:pt idx="20">
                  <c:v>0.52906551807207003</c:v>
                </c:pt>
                <c:pt idx="21">
                  <c:v>0.43890375022533751</c:v>
                </c:pt>
                <c:pt idx="22">
                  <c:v>0.39056367954300725</c:v>
                </c:pt>
                <c:pt idx="23">
                  <c:v>0.34168169344036015</c:v>
                </c:pt>
                <c:pt idx="24">
                  <c:v>0.32084703153481492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DC-4FEE-96B1-3CED3A610B31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'Continuacion 1'!$J$117:$J$141</c:f>
              <c:numCache>
                <c:formatCode>General</c:formatCode>
                <c:ptCount val="25"/>
                <c:pt idx="0">
                  <c:v>0.69907344296683049</c:v>
                </c:pt>
                <c:pt idx="1">
                  <c:v>0.73741122488700939</c:v>
                </c:pt>
                <c:pt idx="2">
                  <c:v>0.73413933765633055</c:v>
                </c:pt>
                <c:pt idx="3">
                  <c:v>0.72429077627118221</c:v>
                </c:pt>
                <c:pt idx="4">
                  <c:v>0.73432101398769445</c:v>
                </c:pt>
                <c:pt idx="5">
                  <c:v>0.75161970582958049</c:v>
                </c:pt>
                <c:pt idx="6">
                  <c:v>0.77516482707310175</c:v>
                </c:pt>
                <c:pt idx="7">
                  <c:v>0.79089646073263054</c:v>
                </c:pt>
                <c:pt idx="8">
                  <c:v>0.82478852674567682</c:v>
                </c:pt>
                <c:pt idx="9">
                  <c:v>0.82396053787289614</c:v>
                </c:pt>
                <c:pt idx="10">
                  <c:v>0.82938536642089833</c:v>
                </c:pt>
                <c:pt idx="11">
                  <c:v>0.86485146988181527</c:v>
                </c:pt>
                <c:pt idx="12">
                  <c:v>0.83664398375476645</c:v>
                </c:pt>
                <c:pt idx="13">
                  <c:v>0.83661687344024027</c:v>
                </c:pt>
                <c:pt idx="14">
                  <c:v>0.78416918762140264</c:v>
                </c:pt>
                <c:pt idx="15">
                  <c:v>0.76490184769877678</c:v>
                </c:pt>
                <c:pt idx="16">
                  <c:v>0.73455879715773964</c:v>
                </c:pt>
                <c:pt idx="17">
                  <c:v>0.72839426895318904</c:v>
                </c:pt>
                <c:pt idx="18">
                  <c:v>0.66934263276861605</c:v>
                </c:pt>
                <c:pt idx="19">
                  <c:v>0.64814327998460219</c:v>
                </c:pt>
                <c:pt idx="20">
                  <c:v>0.611177532011</c:v>
                </c:pt>
                <c:pt idx="21">
                  <c:v>0.52037042240722742</c:v>
                </c:pt>
                <c:pt idx="22">
                  <c:v>0.48439848986178341</c:v>
                </c:pt>
                <c:pt idx="23">
                  <c:v>0.44911456413199913</c:v>
                </c:pt>
                <c:pt idx="24">
                  <c:v>0.43391283153253507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DC-4FEE-96B1-3CED3A610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3332160"/>
        <c:axId val="1733318848"/>
      </c:lineChart>
      <c:catAx>
        <c:axId val="1733332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3318848"/>
        <c:crosses val="autoZero"/>
        <c:auto val="1"/>
        <c:lblAlgn val="ctr"/>
        <c:lblOffset val="100"/>
        <c:noMultiLvlLbl val="0"/>
      </c:catAx>
      <c:valAx>
        <c:axId val="173331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3333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OUTLIERS!$C$2:$C$26</c:f>
              <c:numCache>
                <c:formatCode>General</c:formatCode>
                <c:ptCount val="25"/>
                <c:pt idx="0">
                  <c:v>3.92</c:v>
                </c:pt>
                <c:pt idx="1">
                  <c:v>3.61</c:v>
                </c:pt>
                <c:pt idx="2">
                  <c:v>3.32</c:v>
                </c:pt>
                <c:pt idx="3">
                  <c:v>3.07</c:v>
                </c:pt>
                <c:pt idx="4">
                  <c:v>3.06</c:v>
                </c:pt>
                <c:pt idx="5">
                  <c:v>3.11</c:v>
                </c:pt>
                <c:pt idx="6">
                  <c:v>3.21</c:v>
                </c:pt>
                <c:pt idx="7">
                  <c:v>3.26</c:v>
                </c:pt>
                <c:pt idx="8">
                  <c:v>3.42</c:v>
                </c:pt>
                <c:pt idx="9">
                  <c:v>3.42</c:v>
                </c:pt>
                <c:pt idx="10">
                  <c:v>3.45</c:v>
                </c:pt>
                <c:pt idx="11">
                  <c:v>3.58</c:v>
                </c:pt>
                <c:pt idx="12">
                  <c:v>3.66</c:v>
                </c:pt>
                <c:pt idx="13">
                  <c:v>3.78</c:v>
                </c:pt>
                <c:pt idx="14">
                  <c:v>3.82</c:v>
                </c:pt>
                <c:pt idx="15">
                  <c:v>3.97</c:v>
                </c:pt>
                <c:pt idx="16">
                  <c:v>4.07</c:v>
                </c:pt>
                <c:pt idx="17">
                  <c:v>4.25</c:v>
                </c:pt>
                <c:pt idx="18">
                  <c:v>4.41</c:v>
                </c:pt>
                <c:pt idx="19">
                  <c:v>4.49</c:v>
                </c:pt>
                <c:pt idx="20">
                  <c:v>4.7</c:v>
                </c:pt>
                <c:pt idx="21">
                  <c:v>4.58</c:v>
                </c:pt>
                <c:pt idx="22">
                  <c:v>4.6900000000000004</c:v>
                </c:pt>
                <c:pt idx="23">
                  <c:v>4.71</c:v>
                </c:pt>
                <c:pt idx="24">
                  <c:v>4.78</c:v>
                </c:pt>
              </c:numCache>
            </c:numRef>
          </c:xVal>
          <c:yVal>
            <c:numRef>
              <c:f>OUTLIERS!$F$2:$F$27</c:f>
              <c:numCache>
                <c:formatCode>General</c:formatCode>
                <c:ptCount val="26"/>
                <c:pt idx="0">
                  <c:v>7.3469742925645454E-2</c:v>
                </c:pt>
                <c:pt idx="1">
                  <c:v>-3.3411627343646888E-3</c:v>
                </c:pt>
                <c:pt idx="2">
                  <c:v>-3.9102258250118704E-2</c:v>
                </c:pt>
                <c:pt idx="3">
                  <c:v>-6.2183196473653335E-2</c:v>
                </c:pt>
                <c:pt idx="4">
                  <c:v>1.6240338364503559E-2</c:v>
                </c:pt>
                <c:pt idx="5">
                  <c:v>1.2424658984905079E-2</c:v>
                </c:pt>
                <c:pt idx="6">
                  <c:v>3.0236215840667047E-2</c:v>
                </c:pt>
                <c:pt idx="7">
                  <c:v>-1.8597877856686429E-2</c:v>
                </c:pt>
                <c:pt idx="8">
                  <c:v>0.10569223972524766</c:v>
                </c:pt>
                <c:pt idx="9">
                  <c:v>2.6439477577584358E-2</c:v>
                </c:pt>
                <c:pt idx="10">
                  <c:v>-4.8434733110731765E-2</c:v>
                </c:pt>
                <c:pt idx="11">
                  <c:v>-5.7277770567582653E-2</c:v>
                </c:pt>
                <c:pt idx="12">
                  <c:v>-2.2166535267255538E-2</c:v>
                </c:pt>
                <c:pt idx="13">
                  <c:v>4.0753757549578995E-2</c:v>
                </c:pt>
                <c:pt idx="14">
                  <c:v>3.5565142492277158E-2</c:v>
                </c:pt>
                <c:pt idx="15">
                  <c:v>-3.3971639809104115E-2</c:v>
                </c:pt>
                <c:pt idx="16">
                  <c:v>-2.4886579061732861E-2</c:v>
                </c:pt>
                <c:pt idx="17">
                  <c:v>2.6966238686886079E-2</c:v>
                </c:pt>
                <c:pt idx="18">
                  <c:v>-8.5089832904979845E-2</c:v>
                </c:pt>
                <c:pt idx="19">
                  <c:v>1.7281530270112921E-2</c:v>
                </c:pt>
                <c:pt idx="20">
                  <c:v>-1.0121525041534962E-2</c:v>
                </c:pt>
                <c:pt idx="21">
                  <c:v>-6.9637086316282459E-2</c:v>
                </c:pt>
                <c:pt idx="22">
                  <c:v>7.251891529760468E-2</c:v>
                </c:pt>
                <c:pt idx="23">
                  <c:v>7.4601871213820337E-2</c:v>
                </c:pt>
                <c:pt idx="24">
                  <c:v>-5.7379931533674988E-2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9E-4C6A-8697-C2D797F32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289087"/>
        <c:axId val="1035284511"/>
      </c:scatterChart>
      <c:valAx>
        <c:axId val="103528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5284511"/>
        <c:crosses val="autoZero"/>
        <c:crossBetween val="midCat"/>
      </c:valAx>
      <c:valAx>
        <c:axId val="1035284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528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OUTLIERS!$D$2:$D$26</c:f>
              <c:numCache>
                <c:formatCode>General</c:formatCode>
                <c:ptCount val="25"/>
                <c:pt idx="0">
                  <c:v>7298</c:v>
                </c:pt>
                <c:pt idx="1">
                  <c:v>6855</c:v>
                </c:pt>
                <c:pt idx="2">
                  <c:v>6636</c:v>
                </c:pt>
                <c:pt idx="3">
                  <c:v>6506</c:v>
                </c:pt>
                <c:pt idx="4">
                  <c:v>6450</c:v>
                </c:pt>
                <c:pt idx="5">
                  <c:v>6402</c:v>
                </c:pt>
                <c:pt idx="6">
                  <c:v>6368</c:v>
                </c:pt>
                <c:pt idx="7">
                  <c:v>6340</c:v>
                </c:pt>
                <c:pt idx="8">
                  <c:v>6349</c:v>
                </c:pt>
                <c:pt idx="9">
                  <c:v>6352</c:v>
                </c:pt>
                <c:pt idx="10">
                  <c:v>6361</c:v>
                </c:pt>
                <c:pt idx="11">
                  <c:v>6369</c:v>
                </c:pt>
                <c:pt idx="12">
                  <c:v>6546</c:v>
                </c:pt>
                <c:pt idx="13">
                  <c:v>6672</c:v>
                </c:pt>
                <c:pt idx="14">
                  <c:v>6890</c:v>
                </c:pt>
                <c:pt idx="15">
                  <c:v>7115</c:v>
                </c:pt>
                <c:pt idx="16">
                  <c:v>7327</c:v>
                </c:pt>
                <c:pt idx="17">
                  <c:v>7546</c:v>
                </c:pt>
                <c:pt idx="18">
                  <c:v>7931</c:v>
                </c:pt>
                <c:pt idx="19">
                  <c:v>8097</c:v>
                </c:pt>
                <c:pt idx="20">
                  <c:v>8468</c:v>
                </c:pt>
                <c:pt idx="21">
                  <c:v>8717</c:v>
                </c:pt>
                <c:pt idx="22">
                  <c:v>8991</c:v>
                </c:pt>
                <c:pt idx="23">
                  <c:v>9179</c:v>
                </c:pt>
                <c:pt idx="24">
                  <c:v>9318</c:v>
                </c:pt>
              </c:numCache>
            </c:numRef>
          </c:xVal>
          <c:yVal>
            <c:numRef>
              <c:f>OUTLIERS!$F$2:$F$26</c:f>
              <c:numCache>
                <c:formatCode>General</c:formatCode>
                <c:ptCount val="25"/>
                <c:pt idx="0">
                  <c:v>7.3469742925645454E-2</c:v>
                </c:pt>
                <c:pt idx="1">
                  <c:v>-3.3411627343646888E-3</c:v>
                </c:pt>
                <c:pt idx="2">
                  <c:v>-3.9102258250118704E-2</c:v>
                </c:pt>
                <c:pt idx="3">
                  <c:v>-6.2183196473653335E-2</c:v>
                </c:pt>
                <c:pt idx="4">
                  <c:v>1.6240338364503559E-2</c:v>
                </c:pt>
                <c:pt idx="5">
                  <c:v>1.2424658984905079E-2</c:v>
                </c:pt>
                <c:pt idx="6">
                  <c:v>3.0236215840667047E-2</c:v>
                </c:pt>
                <c:pt idx="7">
                  <c:v>-1.8597877856686429E-2</c:v>
                </c:pt>
                <c:pt idx="8">
                  <c:v>0.10569223972524766</c:v>
                </c:pt>
                <c:pt idx="9">
                  <c:v>2.6439477577584358E-2</c:v>
                </c:pt>
                <c:pt idx="10">
                  <c:v>-4.8434733110731765E-2</c:v>
                </c:pt>
                <c:pt idx="11">
                  <c:v>-5.7277770567582653E-2</c:v>
                </c:pt>
                <c:pt idx="12">
                  <c:v>-2.2166535267255538E-2</c:v>
                </c:pt>
                <c:pt idx="13">
                  <c:v>4.0753757549578995E-2</c:v>
                </c:pt>
                <c:pt idx="14">
                  <c:v>3.5565142492277158E-2</c:v>
                </c:pt>
                <c:pt idx="15">
                  <c:v>-3.3971639809104115E-2</c:v>
                </c:pt>
                <c:pt idx="16">
                  <c:v>-2.4886579061732861E-2</c:v>
                </c:pt>
                <c:pt idx="17">
                  <c:v>2.6966238686886079E-2</c:v>
                </c:pt>
                <c:pt idx="18">
                  <c:v>-8.5089832904979845E-2</c:v>
                </c:pt>
                <c:pt idx="19">
                  <c:v>1.7281530270112921E-2</c:v>
                </c:pt>
                <c:pt idx="20">
                  <c:v>-1.0121525041534962E-2</c:v>
                </c:pt>
                <c:pt idx="21">
                  <c:v>-6.9637086316282459E-2</c:v>
                </c:pt>
                <c:pt idx="22">
                  <c:v>7.251891529760468E-2</c:v>
                </c:pt>
                <c:pt idx="23">
                  <c:v>7.4601871213820337E-2</c:v>
                </c:pt>
                <c:pt idx="24">
                  <c:v>-5.7379931533674988E-2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D4-46D7-A8FC-34E7CBCA8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5311551"/>
        <c:axId val="1035314463"/>
      </c:scatterChart>
      <c:valAx>
        <c:axId val="103531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5314463"/>
        <c:crosses val="autoZero"/>
        <c:crossBetween val="midCat"/>
      </c:valAx>
      <c:valAx>
        <c:axId val="1035314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5311551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OUTLIERS!$C$2:$C$26</c:f>
              <c:numCache>
                <c:formatCode>General</c:formatCode>
                <c:ptCount val="25"/>
                <c:pt idx="0">
                  <c:v>3.92</c:v>
                </c:pt>
                <c:pt idx="1">
                  <c:v>3.61</c:v>
                </c:pt>
                <c:pt idx="2">
                  <c:v>3.32</c:v>
                </c:pt>
                <c:pt idx="3">
                  <c:v>3.07</c:v>
                </c:pt>
                <c:pt idx="4">
                  <c:v>3.06</c:v>
                </c:pt>
                <c:pt idx="5">
                  <c:v>3.11</c:v>
                </c:pt>
                <c:pt idx="6">
                  <c:v>3.21</c:v>
                </c:pt>
                <c:pt idx="7">
                  <c:v>3.26</c:v>
                </c:pt>
                <c:pt idx="8">
                  <c:v>3.42</c:v>
                </c:pt>
                <c:pt idx="9">
                  <c:v>3.42</c:v>
                </c:pt>
                <c:pt idx="10">
                  <c:v>3.45</c:v>
                </c:pt>
                <c:pt idx="11">
                  <c:v>3.58</c:v>
                </c:pt>
                <c:pt idx="12">
                  <c:v>3.66</c:v>
                </c:pt>
                <c:pt idx="13">
                  <c:v>3.78</c:v>
                </c:pt>
                <c:pt idx="14">
                  <c:v>3.82</c:v>
                </c:pt>
                <c:pt idx="15">
                  <c:v>3.97</c:v>
                </c:pt>
                <c:pt idx="16">
                  <c:v>4.07</c:v>
                </c:pt>
                <c:pt idx="17">
                  <c:v>4.25</c:v>
                </c:pt>
                <c:pt idx="18">
                  <c:v>4.41</c:v>
                </c:pt>
                <c:pt idx="19">
                  <c:v>4.49</c:v>
                </c:pt>
                <c:pt idx="20">
                  <c:v>4.7</c:v>
                </c:pt>
                <c:pt idx="21">
                  <c:v>4.58</c:v>
                </c:pt>
                <c:pt idx="22">
                  <c:v>4.6900000000000004</c:v>
                </c:pt>
                <c:pt idx="23">
                  <c:v>4.71</c:v>
                </c:pt>
                <c:pt idx="24">
                  <c:v>4.78</c:v>
                </c:pt>
              </c:numCache>
            </c:numRef>
          </c:xVal>
          <c:yVal>
            <c:numRef>
              <c:f>OUTLIERS!$H$2:$H$26</c:f>
              <c:numCache>
                <c:formatCode>General</c:formatCode>
                <c:ptCount val="25"/>
                <c:pt idx="0">
                  <c:v>1.3783618546654919</c:v>
                </c:pt>
                <c:pt idx="1">
                  <c:v>-6.2683372499872936E-2</c:v>
                </c:pt>
                <c:pt idx="2">
                  <c:v>-0.73359534220486933</c:v>
                </c:pt>
                <c:pt idx="3">
                  <c:v>-1.1666155699931693</c:v>
                </c:pt>
                <c:pt idx="4">
                  <c:v>0.30468410555277042</c:v>
                </c:pt>
                <c:pt idx="5">
                  <c:v>0.23309835205700877</c:v>
                </c:pt>
                <c:pt idx="6">
                  <c:v>0.56726000234390794</c:v>
                </c:pt>
                <c:pt idx="7">
                  <c:v>-0.348913775856381</c:v>
                </c:pt>
                <c:pt idx="8">
                  <c:v>1.9828863661450233</c:v>
                </c:pt>
                <c:pt idx="9">
                  <c:v>0.49602960210583452</c:v>
                </c:pt>
                <c:pt idx="10">
                  <c:v>-0.90868139593602415</c:v>
                </c:pt>
                <c:pt idx="11">
                  <c:v>-1.0745851411313367</c:v>
                </c:pt>
                <c:pt idx="12">
                  <c:v>-0.41586516361441261</c:v>
                </c:pt>
                <c:pt idx="13">
                  <c:v>0.7645790308191962</c:v>
                </c:pt>
                <c:pt idx="14">
                  <c:v>0.66723570567967883</c:v>
                </c:pt>
                <c:pt idx="15">
                  <c:v>-0.63734008843196766</c:v>
                </c:pt>
                <c:pt idx="16">
                  <c:v>-0.46689575743480316</c:v>
                </c:pt>
                <c:pt idx="17">
                  <c:v>0.50591213865312556</c:v>
                </c:pt>
                <c:pt idx="18">
                  <c:v>-1.5963657313294519</c:v>
                </c:pt>
                <c:pt idx="19">
                  <c:v>0.3242178503153027</c:v>
                </c:pt>
                <c:pt idx="20">
                  <c:v>-0.18988938129826438</c:v>
                </c:pt>
                <c:pt idx="21">
                  <c:v>-1.3064575922846648</c:v>
                </c:pt>
                <c:pt idx="22">
                  <c:v>1.3605234292040085</c:v>
                </c:pt>
                <c:pt idx="23">
                  <c:v>1.3996016519598322</c:v>
                </c:pt>
                <c:pt idx="24">
                  <c:v>-1.076501777464745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19-4D1C-B34F-174C3BAE5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267247"/>
        <c:axId val="1031279727"/>
      </c:scatterChart>
      <c:valAx>
        <c:axId val="103126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1279727"/>
        <c:crosses val="autoZero"/>
        <c:crossBetween val="midCat"/>
      </c:valAx>
      <c:valAx>
        <c:axId val="1031279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126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OUTLIERS!$D$2:$D$26</c:f>
              <c:numCache>
                <c:formatCode>General</c:formatCode>
                <c:ptCount val="25"/>
                <c:pt idx="0">
                  <c:v>7298</c:v>
                </c:pt>
                <c:pt idx="1">
                  <c:v>6855</c:v>
                </c:pt>
                <c:pt idx="2">
                  <c:v>6636</c:v>
                </c:pt>
                <c:pt idx="3">
                  <c:v>6506</c:v>
                </c:pt>
                <c:pt idx="4">
                  <c:v>6450</c:v>
                </c:pt>
                <c:pt idx="5">
                  <c:v>6402</c:v>
                </c:pt>
                <c:pt idx="6">
                  <c:v>6368</c:v>
                </c:pt>
                <c:pt idx="7">
                  <c:v>6340</c:v>
                </c:pt>
                <c:pt idx="8">
                  <c:v>6349</c:v>
                </c:pt>
                <c:pt idx="9">
                  <c:v>6352</c:v>
                </c:pt>
                <c:pt idx="10">
                  <c:v>6361</c:v>
                </c:pt>
                <c:pt idx="11">
                  <c:v>6369</c:v>
                </c:pt>
                <c:pt idx="12">
                  <c:v>6546</c:v>
                </c:pt>
                <c:pt idx="13">
                  <c:v>6672</c:v>
                </c:pt>
                <c:pt idx="14">
                  <c:v>6890</c:v>
                </c:pt>
                <c:pt idx="15">
                  <c:v>7115</c:v>
                </c:pt>
                <c:pt idx="16">
                  <c:v>7327</c:v>
                </c:pt>
                <c:pt idx="17">
                  <c:v>7546</c:v>
                </c:pt>
                <c:pt idx="18">
                  <c:v>7931</c:v>
                </c:pt>
                <c:pt idx="19">
                  <c:v>8097</c:v>
                </c:pt>
                <c:pt idx="20">
                  <c:v>8468</c:v>
                </c:pt>
                <c:pt idx="21">
                  <c:v>8717</c:v>
                </c:pt>
                <c:pt idx="22">
                  <c:v>8991</c:v>
                </c:pt>
                <c:pt idx="23">
                  <c:v>9179</c:v>
                </c:pt>
                <c:pt idx="24">
                  <c:v>9318</c:v>
                </c:pt>
              </c:numCache>
            </c:numRef>
          </c:xVal>
          <c:yVal>
            <c:numRef>
              <c:f>OUTLIERS!$H$2:$H$26</c:f>
              <c:numCache>
                <c:formatCode>General</c:formatCode>
                <c:ptCount val="25"/>
                <c:pt idx="0">
                  <c:v>1.3783618546654919</c:v>
                </c:pt>
                <c:pt idx="1">
                  <c:v>-6.2683372499872936E-2</c:v>
                </c:pt>
                <c:pt idx="2">
                  <c:v>-0.73359534220486933</c:v>
                </c:pt>
                <c:pt idx="3">
                  <c:v>-1.1666155699931693</c:v>
                </c:pt>
                <c:pt idx="4">
                  <c:v>0.30468410555277042</c:v>
                </c:pt>
                <c:pt idx="5">
                  <c:v>0.23309835205700877</c:v>
                </c:pt>
                <c:pt idx="6">
                  <c:v>0.56726000234390794</c:v>
                </c:pt>
                <c:pt idx="7">
                  <c:v>-0.348913775856381</c:v>
                </c:pt>
                <c:pt idx="8">
                  <c:v>1.9828863661450233</c:v>
                </c:pt>
                <c:pt idx="9">
                  <c:v>0.49602960210583452</c:v>
                </c:pt>
                <c:pt idx="10">
                  <c:v>-0.90868139593602415</c:v>
                </c:pt>
                <c:pt idx="11">
                  <c:v>-1.0745851411313367</c:v>
                </c:pt>
                <c:pt idx="12">
                  <c:v>-0.41586516361441261</c:v>
                </c:pt>
                <c:pt idx="13">
                  <c:v>0.7645790308191962</c:v>
                </c:pt>
                <c:pt idx="14">
                  <c:v>0.66723570567967883</c:v>
                </c:pt>
                <c:pt idx="15">
                  <c:v>-0.63734008843196766</c:v>
                </c:pt>
                <c:pt idx="16">
                  <c:v>-0.46689575743480316</c:v>
                </c:pt>
                <c:pt idx="17">
                  <c:v>0.50591213865312556</c:v>
                </c:pt>
                <c:pt idx="18">
                  <c:v>-1.5963657313294519</c:v>
                </c:pt>
                <c:pt idx="19">
                  <c:v>0.3242178503153027</c:v>
                </c:pt>
                <c:pt idx="20">
                  <c:v>-0.18988938129826438</c:v>
                </c:pt>
                <c:pt idx="21">
                  <c:v>-1.3064575922846648</c:v>
                </c:pt>
                <c:pt idx="22">
                  <c:v>1.3605234292040085</c:v>
                </c:pt>
                <c:pt idx="23">
                  <c:v>1.3996016519598322</c:v>
                </c:pt>
                <c:pt idx="24">
                  <c:v>-1.076501777464745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98-4EA6-9E5E-54F6A4901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267247"/>
        <c:axId val="1031279727"/>
      </c:scatterChart>
      <c:valAx>
        <c:axId val="103126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1279727"/>
        <c:crosses val="autoZero"/>
        <c:crossBetween val="midCat"/>
      </c:valAx>
      <c:valAx>
        <c:axId val="1031279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126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OUTLIERS!$C$2:$C$26</c:f>
              <c:numCache>
                <c:formatCode>General</c:formatCode>
                <c:ptCount val="25"/>
                <c:pt idx="0">
                  <c:v>3.92</c:v>
                </c:pt>
                <c:pt idx="1">
                  <c:v>3.61</c:v>
                </c:pt>
                <c:pt idx="2">
                  <c:v>3.32</c:v>
                </c:pt>
                <c:pt idx="3">
                  <c:v>3.07</c:v>
                </c:pt>
                <c:pt idx="4">
                  <c:v>3.06</c:v>
                </c:pt>
                <c:pt idx="5">
                  <c:v>3.11</c:v>
                </c:pt>
                <c:pt idx="6">
                  <c:v>3.21</c:v>
                </c:pt>
                <c:pt idx="7">
                  <c:v>3.26</c:v>
                </c:pt>
                <c:pt idx="8">
                  <c:v>3.42</c:v>
                </c:pt>
                <c:pt idx="9">
                  <c:v>3.42</c:v>
                </c:pt>
                <c:pt idx="10">
                  <c:v>3.45</c:v>
                </c:pt>
                <c:pt idx="11">
                  <c:v>3.58</c:v>
                </c:pt>
                <c:pt idx="12">
                  <c:v>3.66</c:v>
                </c:pt>
                <c:pt idx="13">
                  <c:v>3.78</c:v>
                </c:pt>
                <c:pt idx="14">
                  <c:v>3.82</c:v>
                </c:pt>
                <c:pt idx="15">
                  <c:v>3.97</c:v>
                </c:pt>
                <c:pt idx="16">
                  <c:v>4.07</c:v>
                </c:pt>
                <c:pt idx="17">
                  <c:v>4.25</c:v>
                </c:pt>
                <c:pt idx="18">
                  <c:v>4.41</c:v>
                </c:pt>
                <c:pt idx="19">
                  <c:v>4.49</c:v>
                </c:pt>
                <c:pt idx="20">
                  <c:v>4.7</c:v>
                </c:pt>
                <c:pt idx="21">
                  <c:v>4.58</c:v>
                </c:pt>
                <c:pt idx="22">
                  <c:v>4.6900000000000004</c:v>
                </c:pt>
                <c:pt idx="23">
                  <c:v>4.71</c:v>
                </c:pt>
                <c:pt idx="24">
                  <c:v>4.78</c:v>
                </c:pt>
              </c:numCache>
            </c:numRef>
          </c:xVal>
          <c:yVal>
            <c:numRef>
              <c:f>OUTLIERS!$J$2:$J$26</c:f>
              <c:numCache>
                <c:formatCode>General</c:formatCode>
                <c:ptCount val="25"/>
                <c:pt idx="0">
                  <c:v>1.4079501892456383</c:v>
                </c:pt>
                <c:pt idx="1">
                  <c:v>-6.4224403798241778E-2</c:v>
                </c:pt>
                <c:pt idx="2">
                  <c:v>-0.77347584715788387</c:v>
                </c:pt>
                <c:pt idx="3">
                  <c:v>-1.3228000636009818</c:v>
                </c:pt>
                <c:pt idx="4">
                  <c:v>0.34262513423279667</c:v>
                </c:pt>
                <c:pt idx="5">
                  <c:v>0.25414279624704478</c:v>
                </c:pt>
                <c:pt idx="6">
                  <c:v>0.59879671048551542</c:v>
                </c:pt>
                <c:pt idx="7">
                  <c:v>-0.36483434135248</c:v>
                </c:pt>
                <c:pt idx="8">
                  <c:v>2.0628582218545715</c:v>
                </c:pt>
                <c:pt idx="9">
                  <c:v>0.51592267702587291</c:v>
                </c:pt>
                <c:pt idx="10">
                  <c:v>-0.94654016592711998</c:v>
                </c:pt>
                <c:pt idx="11">
                  <c:v>-1.1426164422853708</c:v>
                </c:pt>
                <c:pt idx="12">
                  <c:v>-0.43769901239158199</c:v>
                </c:pt>
                <c:pt idx="13">
                  <c:v>0.81241224925746203</c:v>
                </c:pt>
                <c:pt idx="14">
                  <c:v>0.6927684434683834</c:v>
                </c:pt>
                <c:pt idx="15">
                  <c:v>-0.66385660012739467</c:v>
                </c:pt>
                <c:pt idx="16">
                  <c:v>-0.48468331807208964</c:v>
                </c:pt>
                <c:pt idx="17">
                  <c:v>0.53396839677691832</c:v>
                </c:pt>
                <c:pt idx="18">
                  <c:v>-1.679003832081889</c:v>
                </c:pt>
                <c:pt idx="19">
                  <c:v>0.34226894823708265</c:v>
                </c:pt>
                <c:pt idx="20">
                  <c:v>-0.20451849900485186</c:v>
                </c:pt>
                <c:pt idx="21">
                  <c:v>-1.4053480277710964</c:v>
                </c:pt>
                <c:pt idx="22">
                  <c:v>1.5025761689646104</c:v>
                </c:pt>
                <c:pt idx="23">
                  <c:v>1.6013859132813606</c:v>
                </c:pt>
                <c:pt idx="24">
                  <c:v>-1.2527169351284686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26-43CA-96C9-FBFC29166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267247"/>
        <c:axId val="1031279727"/>
      </c:scatterChart>
      <c:valAx>
        <c:axId val="103126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1279727"/>
        <c:crosses val="autoZero"/>
        <c:crossBetween val="midCat"/>
      </c:valAx>
      <c:valAx>
        <c:axId val="1031279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3126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OUTLIERS!$D$2:$D$26</c:f>
              <c:numCache>
                <c:formatCode>General</c:formatCode>
                <c:ptCount val="25"/>
                <c:pt idx="0">
                  <c:v>7298</c:v>
                </c:pt>
                <c:pt idx="1">
                  <c:v>6855</c:v>
                </c:pt>
                <c:pt idx="2">
                  <c:v>6636</c:v>
                </c:pt>
                <c:pt idx="3">
                  <c:v>6506</c:v>
                </c:pt>
                <c:pt idx="4">
                  <c:v>6450</c:v>
                </c:pt>
                <c:pt idx="5">
                  <c:v>6402</c:v>
                </c:pt>
                <c:pt idx="6">
                  <c:v>6368</c:v>
                </c:pt>
                <c:pt idx="7">
                  <c:v>6340</c:v>
                </c:pt>
                <c:pt idx="8">
                  <c:v>6349</c:v>
                </c:pt>
                <c:pt idx="9">
                  <c:v>6352</c:v>
                </c:pt>
                <c:pt idx="10">
                  <c:v>6361</c:v>
                </c:pt>
                <c:pt idx="11">
                  <c:v>6369</c:v>
                </c:pt>
                <c:pt idx="12">
                  <c:v>6546</c:v>
                </c:pt>
                <c:pt idx="13">
                  <c:v>6672</c:v>
                </c:pt>
                <c:pt idx="14">
                  <c:v>6890</c:v>
                </c:pt>
                <c:pt idx="15">
                  <c:v>7115</c:v>
                </c:pt>
                <c:pt idx="16">
                  <c:v>7327</c:v>
                </c:pt>
                <c:pt idx="17">
                  <c:v>7546</c:v>
                </c:pt>
                <c:pt idx="18">
                  <c:v>7931</c:v>
                </c:pt>
                <c:pt idx="19">
                  <c:v>8097</c:v>
                </c:pt>
                <c:pt idx="20">
                  <c:v>8468</c:v>
                </c:pt>
                <c:pt idx="21">
                  <c:v>8717</c:v>
                </c:pt>
                <c:pt idx="22">
                  <c:v>8991</c:v>
                </c:pt>
                <c:pt idx="23">
                  <c:v>9179</c:v>
                </c:pt>
                <c:pt idx="24">
                  <c:v>9318</c:v>
                </c:pt>
              </c:numCache>
            </c:numRef>
          </c:xVal>
          <c:yVal>
            <c:numRef>
              <c:f>OUTLIERS!$J$2:$J$26</c:f>
              <c:numCache>
                <c:formatCode>General</c:formatCode>
                <c:ptCount val="25"/>
                <c:pt idx="0">
                  <c:v>1.4079501892456383</c:v>
                </c:pt>
                <c:pt idx="1">
                  <c:v>-6.4224403798241778E-2</c:v>
                </c:pt>
                <c:pt idx="2">
                  <c:v>-0.77347584715788387</c:v>
                </c:pt>
                <c:pt idx="3">
                  <c:v>-1.3228000636009818</c:v>
                </c:pt>
                <c:pt idx="4">
                  <c:v>0.34262513423279667</c:v>
                </c:pt>
                <c:pt idx="5">
                  <c:v>0.25414279624704478</c:v>
                </c:pt>
                <c:pt idx="6">
                  <c:v>0.59879671048551542</c:v>
                </c:pt>
                <c:pt idx="7">
                  <c:v>-0.36483434135248</c:v>
                </c:pt>
                <c:pt idx="8">
                  <c:v>2.0628582218545715</c:v>
                </c:pt>
                <c:pt idx="9">
                  <c:v>0.51592267702587291</c:v>
                </c:pt>
                <c:pt idx="10">
                  <c:v>-0.94654016592711998</c:v>
                </c:pt>
                <c:pt idx="11">
                  <c:v>-1.1426164422853708</c:v>
                </c:pt>
                <c:pt idx="12">
                  <c:v>-0.43769901239158199</c:v>
                </c:pt>
                <c:pt idx="13">
                  <c:v>0.81241224925746203</c:v>
                </c:pt>
                <c:pt idx="14">
                  <c:v>0.6927684434683834</c:v>
                </c:pt>
                <c:pt idx="15">
                  <c:v>-0.66385660012739467</c:v>
                </c:pt>
                <c:pt idx="16">
                  <c:v>-0.48468331807208964</c:v>
                </c:pt>
                <c:pt idx="17">
                  <c:v>0.53396839677691832</c:v>
                </c:pt>
                <c:pt idx="18">
                  <c:v>-1.679003832081889</c:v>
                </c:pt>
                <c:pt idx="19">
                  <c:v>0.34226894823708265</c:v>
                </c:pt>
                <c:pt idx="20">
                  <c:v>-0.20451849900485186</c:v>
                </c:pt>
                <c:pt idx="21">
                  <c:v>-1.4053480277710964</c:v>
                </c:pt>
                <c:pt idx="22">
                  <c:v>1.5025761689646104</c:v>
                </c:pt>
                <c:pt idx="23">
                  <c:v>1.6013859132813606</c:v>
                </c:pt>
                <c:pt idx="24">
                  <c:v>-1.2527169351284686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10-4BA3-8E45-A578F67F4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593263"/>
        <c:axId val="1220587023"/>
      </c:scatterChart>
      <c:valAx>
        <c:axId val="122059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0587023"/>
        <c:crosses val="autoZero"/>
        <c:crossBetween val="midCat"/>
      </c:valAx>
      <c:valAx>
        <c:axId val="1220587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2059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COOK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OUTLIERS!$H$86:$H$110</c:f>
              <c:numCache>
                <c:formatCode>0.000000E+00</c:formatCode>
                <c:ptCount val="25"/>
                <c:pt idx="0" formatCode="General">
                  <c:v>2.8673262324177575E-2</c:v>
                </c:pt>
                <c:pt idx="1">
                  <c:v>6.8434310023197722E-5</c:v>
                </c:pt>
                <c:pt idx="2" formatCode="General">
                  <c:v>2.2271709052476312E-2</c:v>
                </c:pt>
                <c:pt idx="3" formatCode="General">
                  <c:v>0.16662760390870149</c:v>
                </c:pt>
                <c:pt idx="4" formatCode="General">
                  <c:v>1.0352339177514181E-2</c:v>
                </c:pt>
                <c:pt idx="5" formatCode="General">
                  <c:v>4.0629115233677656E-3</c:v>
                </c:pt>
                <c:pt idx="6" formatCode="General">
                  <c:v>1.3658696800482878E-2</c:v>
                </c:pt>
                <c:pt idx="7" formatCode="General">
                  <c:v>4.1413067438147077E-3</c:v>
                </c:pt>
                <c:pt idx="8" formatCode="General">
                  <c:v>0.11672328141259251</c:v>
                </c:pt>
                <c:pt idx="9" formatCode="General">
                  <c:v>7.2592999394417565E-3</c:v>
                </c:pt>
                <c:pt idx="10" formatCode="General">
                  <c:v>2.5403634214931151E-2</c:v>
                </c:pt>
                <c:pt idx="11" formatCode="General">
                  <c:v>5.6847579682763182E-2</c:v>
                </c:pt>
                <c:pt idx="12" formatCode="General">
                  <c:v>6.8816292755737264E-3</c:v>
                </c:pt>
                <c:pt idx="13" formatCode="General">
                  <c:v>2.8388719274397501E-2</c:v>
                </c:pt>
                <c:pt idx="14" formatCode="General">
                  <c:v>1.247768449882105E-2</c:v>
                </c:pt>
                <c:pt idx="15" formatCode="General">
                  <c:v>1.247797663301424E-2</c:v>
                </c:pt>
                <c:pt idx="16" formatCode="General">
                  <c:v>6.0801782569824868E-3</c:v>
                </c:pt>
                <c:pt idx="17" formatCode="General">
                  <c:v>1.0833601358286633E-2</c:v>
                </c:pt>
                <c:pt idx="18" formatCode="General">
                  <c:v>9.9806301801174876E-2</c:v>
                </c:pt>
                <c:pt idx="19" formatCode="General">
                  <c:v>4.4692543931098014E-3</c:v>
                </c:pt>
                <c:pt idx="20" formatCode="General">
                  <c:v>2.2310345591135734E-3</c:v>
                </c:pt>
                <c:pt idx="21" formatCode="General">
                  <c:v>0.10343528944352197</c:v>
                </c:pt>
                <c:pt idx="22" formatCode="General">
                  <c:v>0.1653582086004548</c:v>
                </c:pt>
                <c:pt idx="23" formatCode="General">
                  <c:v>0.26424899571824007</c:v>
                </c:pt>
                <c:pt idx="24" formatCode="General">
                  <c:v>0.18527152370014152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7D-4110-8E8B-D71FD00DA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27871"/>
        <c:axId val="696639103"/>
      </c:scatterChart>
      <c:valAx>
        <c:axId val="69662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96639103"/>
        <c:crosses val="autoZero"/>
        <c:crossBetween val="midCat"/>
      </c:valAx>
      <c:valAx>
        <c:axId val="69663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96627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Mahalanobis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OUTLIERS!$I$86:$I$110</c:f>
              <c:numCache>
                <c:formatCode>General</c:formatCode>
                <c:ptCount val="25"/>
                <c:pt idx="0">
                  <c:v>3.8129597435466456E-2</c:v>
                </c:pt>
                <c:pt idx="1">
                  <c:v>0.17791749016060437</c:v>
                </c:pt>
                <c:pt idx="2">
                  <c:v>1.4510829069063478</c:v>
                </c:pt>
                <c:pt idx="3">
                  <c:v>4.3728350889419536</c:v>
                </c:pt>
                <c:pt idx="4">
                  <c:v>4.0610403578005974</c:v>
                </c:pt>
                <c:pt idx="5">
                  <c:v>2.8501059427957243</c:v>
                </c:pt>
                <c:pt idx="6">
                  <c:v>1.5014355139570916</c:v>
                </c:pt>
                <c:pt idx="7">
                  <c:v>1.088911900162477</c:v>
                </c:pt>
                <c:pt idx="8">
                  <c:v>0.86476993356470278</c:v>
                </c:pt>
                <c:pt idx="9">
                  <c:v>0.85511421519386532</c:v>
                </c:pt>
                <c:pt idx="10">
                  <c:v>0.92146190459115918</c:v>
                </c:pt>
                <c:pt idx="11">
                  <c:v>1.8128364890990472</c:v>
                </c:pt>
                <c:pt idx="12">
                  <c:v>1.3746758225707101</c:v>
                </c:pt>
                <c:pt idx="13">
                  <c:v>1.782945704302654</c:v>
                </c:pt>
                <c:pt idx="14">
                  <c:v>0.77649151970233721</c:v>
                </c:pt>
                <c:pt idx="15">
                  <c:v>0.91897943713307839</c:v>
                </c:pt>
                <c:pt idx="16">
                  <c:v>0.76924438547344742</c:v>
                </c:pt>
                <c:pt idx="17">
                  <c:v>1.4958019036822039</c:v>
                </c:pt>
                <c:pt idx="18">
                  <c:v>1.3443503187318226</c:v>
                </c:pt>
                <c:pt idx="19">
                  <c:v>1.5047417112071038</c:v>
                </c:pt>
                <c:pt idx="20">
                  <c:v>2.3506232916359657</c:v>
                </c:pt>
                <c:pt idx="21">
                  <c:v>2.2987895164506922</c:v>
                </c:pt>
                <c:pt idx="22">
                  <c:v>3.3633890560562216</c:v>
                </c:pt>
                <c:pt idx="23">
                  <c:v>4.7072284428898188</c:v>
                </c:pt>
                <c:pt idx="24">
                  <c:v>5.3170975495531154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AE-4E8E-A3D9-62278264B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674255"/>
        <c:axId val="703689231"/>
      </c:scatterChart>
      <c:valAx>
        <c:axId val="703674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3689231"/>
        <c:crosses val="autoZero"/>
        <c:crossBetween val="midCat"/>
      </c:valAx>
      <c:valAx>
        <c:axId val="70368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3674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OUTLIERS!$J$86:$J$110</c:f>
              <c:numCache>
                <c:formatCode>General</c:formatCode>
                <c:ptCount val="25"/>
                <c:pt idx="0">
                  <c:v>3.1881026910701017E-3</c:v>
                </c:pt>
                <c:pt idx="1">
                  <c:v>-1.6630013959883645E-4</c:v>
                </c:pt>
                <c:pt idx="2">
                  <c:v>-4.3669993303396834E-3</c:v>
                </c:pt>
                <c:pt idx="3">
                  <c:v>-1.7764493627033286E-2</c:v>
                </c:pt>
                <c:pt idx="4">
                  <c:v>4.2965155040005105E-3</c:v>
                </c:pt>
                <c:pt idx="5">
                  <c:v>2.3447011114308084E-3</c:v>
                </c:pt>
                <c:pt idx="6">
                  <c:v>3.455406488492642E-3</c:v>
                </c:pt>
                <c:pt idx="7">
                  <c:v>-1.7359236628736912E-3</c:v>
                </c:pt>
                <c:pt idx="8">
                  <c:v>8.697272618319582E-3</c:v>
                </c:pt>
                <c:pt idx="9">
                  <c:v>2.163214724605002E-3</c:v>
                </c:pt>
                <c:pt idx="10">
                  <c:v>-4.1199877140974967E-3</c:v>
                </c:pt>
                <c:pt idx="11">
                  <c:v>-7.4820120061013127E-3</c:v>
                </c:pt>
                <c:pt idx="12">
                  <c:v>-2.3886868036129753E-3</c:v>
                </c:pt>
                <c:pt idx="13">
                  <c:v>5.2587410583712019E-3</c:v>
                </c:pt>
                <c:pt idx="14">
                  <c:v>2.7739818452019124E-3</c:v>
                </c:pt>
                <c:pt idx="15">
                  <c:v>-2.8855817237541316E-3</c:v>
                </c:pt>
                <c:pt idx="16">
                  <c:v>-1.9323537046076768E-3</c:v>
                </c:pt>
                <c:pt idx="17">
                  <c:v>3.0738549657934166E-3</c:v>
                </c:pt>
                <c:pt idx="18">
                  <c:v>-9.0376082973315473E-3</c:v>
                </c:pt>
                <c:pt idx="19">
                  <c:v>1.9778963372081761E-3</c:v>
                </c:pt>
                <c:pt idx="20">
                  <c:v>-1.6196020315989471E-3</c:v>
                </c:pt>
                <c:pt idx="21">
                  <c:v>-1.0941145745744332E-2</c:v>
                </c:pt>
                <c:pt idx="22">
                  <c:v>1.593401859943936E-2</c:v>
                </c:pt>
                <c:pt idx="23">
                  <c:v>2.3061752835282154E-2</c:v>
                </c:pt>
                <c:pt idx="24">
                  <c:v>-2.0322824019971673E-2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B0-4CBD-9A58-FE19380D7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547263"/>
        <c:axId val="407564319"/>
      </c:scatterChart>
      <c:valAx>
        <c:axId val="40754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7564319"/>
        <c:crosses val="autoZero"/>
        <c:crossBetween val="midCat"/>
      </c:valAx>
      <c:valAx>
        <c:axId val="40756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7547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DELTA BETA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OUTLIERS!$K$86:$K$110</c:f>
              <c:numCache>
                <c:formatCode>General</c:formatCode>
                <c:ptCount val="25"/>
                <c:pt idx="0">
                  <c:v>2.0480945083496882E-3</c:v>
                </c:pt>
                <c:pt idx="1">
                  <c:v>-5.3897427236480671E-4</c:v>
                </c:pt>
                <c:pt idx="2">
                  <c:v>-8.9034925443289784E-3</c:v>
                </c:pt>
                <c:pt idx="3">
                  <c:v>-1.8274959141178212E-2</c:v>
                </c:pt>
                <c:pt idx="4">
                  <c:v>5.0748580589471048E-3</c:v>
                </c:pt>
                <c:pt idx="5">
                  <c:v>3.9575275578789563E-3</c:v>
                </c:pt>
                <c:pt idx="6">
                  <c:v>9.7098918992118196E-3</c:v>
                </c:pt>
                <c:pt idx="7">
                  <c:v>-6.1433703679319145E-3</c:v>
                </c:pt>
                <c:pt idx="8">
                  <c:v>3.5756400098649853E-2</c:v>
                </c:pt>
                <c:pt idx="9">
                  <c:v>8.9110783193470915E-3</c:v>
                </c:pt>
                <c:pt idx="10">
                  <c:v>-1.6343376294208213E-2</c:v>
                </c:pt>
                <c:pt idx="11">
                  <c:v>-2.0673787034852897E-2</c:v>
                </c:pt>
                <c:pt idx="12">
                  <c:v>-6.5021224530068403E-3</c:v>
                </c:pt>
                <c:pt idx="13">
                  <c:v>1.0646773689866563E-2</c:v>
                </c:pt>
                <c:pt idx="14">
                  <c:v>6.1101385767572004E-3</c:v>
                </c:pt>
                <c:pt idx="15">
                  <c:v>-3.4742418207217829E-3</c:v>
                </c:pt>
                <c:pt idx="16">
                  <c:v>-7.8872521233865436E-4</c:v>
                </c:pt>
                <c:pt idx="17">
                  <c:v>-9.3362040879372361E-4</c:v>
                </c:pt>
                <c:pt idx="18">
                  <c:v>1.4183780839795759E-2</c:v>
                </c:pt>
                <c:pt idx="19">
                  <c:v>-3.8773847497274002E-3</c:v>
                </c:pt>
                <c:pt idx="20">
                  <c:v>3.6614438407833738E-3</c:v>
                </c:pt>
                <c:pt idx="21">
                  <c:v>3.2888896877677168E-2</c:v>
                </c:pt>
                <c:pt idx="22">
                  <c:v>-4.3661504814534353E-2</c:v>
                </c:pt>
                <c:pt idx="23">
                  <c:v>-5.4393714650459106E-2</c:v>
                </c:pt>
                <c:pt idx="24">
                  <c:v>4.6551328838714066E-2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E3-4D19-98BF-E39A7BB9F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03791"/>
        <c:axId val="703691727"/>
      </c:scatterChart>
      <c:valAx>
        <c:axId val="70370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3691727"/>
        <c:crosses val="autoZero"/>
        <c:crossBetween val="midCat"/>
      </c:valAx>
      <c:valAx>
        <c:axId val="70369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0370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image" Target="../media/image5.png"/><Relationship Id="rId7" Type="http://schemas.openxmlformats.org/officeDocument/2006/relationships/chart" Target="../charts/chart2.xml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image" Target="../media/image12.png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2.xml"/><Relationship Id="rId2" Type="http://schemas.openxmlformats.org/officeDocument/2006/relationships/image" Target="../media/image10.png"/><Relationship Id="rId16" Type="http://schemas.openxmlformats.org/officeDocument/2006/relationships/chart" Target="../charts/chart13.xml"/><Relationship Id="rId1" Type="http://schemas.openxmlformats.org/officeDocument/2006/relationships/image" Target="../media/image9.png"/><Relationship Id="rId6" Type="http://schemas.openxmlformats.org/officeDocument/2006/relationships/chart" Target="../charts/chart7.xml"/><Relationship Id="rId11" Type="http://schemas.openxmlformats.org/officeDocument/2006/relationships/chart" Target="../charts/chart11.xml"/><Relationship Id="rId5" Type="http://schemas.openxmlformats.org/officeDocument/2006/relationships/chart" Target="../charts/chart6.xml"/><Relationship Id="rId15" Type="http://schemas.openxmlformats.org/officeDocument/2006/relationships/image" Target="../media/image14.png"/><Relationship Id="rId10" Type="http://schemas.openxmlformats.org/officeDocument/2006/relationships/chart" Target="../charts/chart10.xml"/><Relationship Id="rId4" Type="http://schemas.openxmlformats.org/officeDocument/2006/relationships/chart" Target="../charts/chart5.xml"/><Relationship Id="rId9" Type="http://schemas.openxmlformats.org/officeDocument/2006/relationships/image" Target="../media/image11.png"/><Relationship Id="rId1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230093</xdr:colOff>
      <xdr:row>27</xdr:row>
      <xdr:rowOff>151652</xdr:rowOff>
    </xdr:from>
    <xdr:ext cx="3183965" cy="1961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57B62E2-A5B3-4370-AE86-FCB802F40761}"/>
                </a:ext>
              </a:extLst>
            </xdr:cNvPr>
            <xdr:cNvSpPr txBox="1"/>
          </xdr:nvSpPr>
          <xdr:spPr>
            <a:xfrm>
              <a:off x="7760446" y="5575299"/>
              <a:ext cx="3183965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′</m:t>
                                </m:r>
                              </m:sup>
                            </m:sSup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𝑋</m:t>
                            </m:r>
                          </m:e>
                        </m:d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^1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s-MX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′</m:t>
                        </m:r>
                      </m:sup>
                    </m:sSup>
                    <m:r>
                      <a:rPr lang="es-MX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𝑌</m:t>
                    </m:r>
                  </m:oMath>
                </m:oMathPara>
              </a14:m>
              <a:endParaRPr lang="es-MX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57B62E2-A5B3-4370-AE86-FCB802F40761}"/>
                </a:ext>
              </a:extLst>
            </xdr:cNvPr>
            <xdr:cNvSpPr txBox="1"/>
          </xdr:nvSpPr>
          <xdr:spPr>
            <a:xfrm>
              <a:off x="7760446" y="5575299"/>
              <a:ext cx="3183965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=〖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(𝑋^′ 𝑋)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^1</a:t>
              </a:r>
              <a:r>
                <a:rPr lang="es-MX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𝑋〗^′ 𝑌</a:t>
              </a:r>
              <a:endParaRPr lang="es-MX" sz="1100"/>
            </a:p>
          </xdr:txBody>
        </xdr:sp>
      </mc:Fallback>
    </mc:AlternateContent>
    <xdr:clientData/>
  </xdr:oneCellAnchor>
  <xdr:twoCellAnchor>
    <xdr:from>
      <xdr:col>0</xdr:col>
      <xdr:colOff>6111</xdr:colOff>
      <xdr:row>61</xdr:row>
      <xdr:rowOff>154098</xdr:rowOff>
    </xdr:from>
    <xdr:to>
      <xdr:col>8</xdr:col>
      <xdr:colOff>409522</xdr:colOff>
      <xdr:row>81</xdr:row>
      <xdr:rowOff>52296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2A6257-D109-489C-AC12-BC9B5D1BF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500531</xdr:colOff>
      <xdr:row>48</xdr:row>
      <xdr:rowOff>171824</xdr:rowOff>
    </xdr:from>
    <xdr:to>
      <xdr:col>11</xdr:col>
      <xdr:colOff>500531</xdr:colOff>
      <xdr:row>54</xdr:row>
      <xdr:rowOff>172301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533051-BBAE-4603-86CD-5D1FFB629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44884" y="9891059"/>
          <a:ext cx="2286000" cy="112106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57</xdr:row>
      <xdr:rowOff>37352</xdr:rowOff>
    </xdr:from>
    <xdr:to>
      <xdr:col>13</xdr:col>
      <xdr:colOff>476244</xdr:colOff>
      <xdr:row>63</xdr:row>
      <xdr:rowOff>183766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114BCF-112D-48F4-8355-B8988B480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6353" y="11437470"/>
          <a:ext cx="3972479" cy="12670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526303</xdr:colOff>
      <xdr:row>31</xdr:row>
      <xdr:rowOff>10084</xdr:rowOff>
    </xdr:from>
    <xdr:to>
      <xdr:col>6</xdr:col>
      <xdr:colOff>572191</xdr:colOff>
      <xdr:row>38</xdr:row>
      <xdr:rowOff>44823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22A64B-E99E-42EF-9072-FF0BD1C4A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1479" y="6360084"/>
          <a:ext cx="2563477" cy="13420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149413</xdr:rowOff>
    </xdr:from>
    <xdr:to>
      <xdr:col>7</xdr:col>
      <xdr:colOff>712654</xdr:colOff>
      <xdr:row>55</xdr:row>
      <xdr:rowOff>137397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E0E9DF-7BEF-4DB2-868C-B946C7329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40589"/>
          <a:ext cx="5068007" cy="2229161"/>
        </a:xfrm>
        <a:prstGeom prst="rect">
          <a:avLst/>
        </a:prstGeom>
      </xdr:spPr>
    </xdr:pic>
    <xdr:clientData/>
  </xdr:twoCellAnchor>
  <xdr:twoCellAnchor editAs="oneCell">
    <xdr:from>
      <xdr:col>9</xdr:col>
      <xdr:colOff>470647</xdr:colOff>
      <xdr:row>59</xdr:row>
      <xdr:rowOff>104588</xdr:rowOff>
    </xdr:from>
    <xdr:to>
      <xdr:col>11</xdr:col>
      <xdr:colOff>199862</xdr:colOff>
      <xdr:row>65</xdr:row>
      <xdr:rowOff>117633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1CB1A7-0824-4E19-B49A-F6BFC282A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18412" y="11684000"/>
          <a:ext cx="1867161" cy="1133633"/>
        </a:xfrm>
        <a:prstGeom prst="rect">
          <a:avLst/>
        </a:prstGeom>
      </xdr:spPr>
    </xdr:pic>
    <xdr:clientData/>
  </xdr:twoCellAnchor>
  <xdr:twoCellAnchor editAs="oneCell">
    <xdr:from>
      <xdr:col>9</xdr:col>
      <xdr:colOff>209176</xdr:colOff>
      <xdr:row>66</xdr:row>
      <xdr:rowOff>37352</xdr:rowOff>
    </xdr:from>
    <xdr:to>
      <xdr:col>11</xdr:col>
      <xdr:colOff>585501</xdr:colOff>
      <xdr:row>70</xdr:row>
      <xdr:rowOff>61926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AD6DF3-F881-4D8E-981F-BEAC4C111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56941" y="12924117"/>
          <a:ext cx="2514951" cy="771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12</xdr:col>
      <xdr:colOff>521956</xdr:colOff>
      <xdr:row>109</xdr:row>
      <xdr:rowOff>26174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EA6A94D-98D4-4E06-B4FC-A02BC7595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727706"/>
          <a:ext cx="10088383" cy="3724795"/>
        </a:xfrm>
        <a:prstGeom prst="rect">
          <a:avLst/>
        </a:prstGeom>
      </xdr:spPr>
    </xdr:pic>
    <xdr:clientData/>
  </xdr:twoCellAnchor>
  <xdr:twoCellAnchor editAs="oneCell">
    <xdr:from>
      <xdr:col>13</xdr:col>
      <xdr:colOff>1004455</xdr:colOff>
      <xdr:row>62</xdr:row>
      <xdr:rowOff>46182</xdr:rowOff>
    </xdr:from>
    <xdr:to>
      <xdr:col>20</xdr:col>
      <xdr:colOff>611151</xdr:colOff>
      <xdr:row>77</xdr:row>
      <xdr:rowOff>76014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DA9958-CBAC-4E68-8BC8-B7D6FB7EB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94091" y="12065000"/>
          <a:ext cx="4906060" cy="2800741"/>
        </a:xfrm>
        <a:prstGeom prst="rect">
          <a:avLst/>
        </a:prstGeom>
      </xdr:spPr>
    </xdr:pic>
    <xdr:clientData/>
  </xdr:twoCellAnchor>
  <xdr:twoCellAnchor>
    <xdr:from>
      <xdr:col>2</xdr:col>
      <xdr:colOff>483152</xdr:colOff>
      <xdr:row>135</xdr:row>
      <xdr:rowOff>44725</xdr:rowOff>
    </xdr:from>
    <xdr:to>
      <xdr:col>8</xdr:col>
      <xdr:colOff>891761</xdr:colOff>
      <xdr:row>150</xdr:row>
      <xdr:rowOff>54664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949AF0B-D029-42A5-AC52-6C3A2D93C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938696</xdr:colOff>
      <xdr:row>135</xdr:row>
      <xdr:rowOff>44174</xdr:rowOff>
    </xdr:from>
    <xdr:to>
      <xdr:col>13</xdr:col>
      <xdr:colOff>767522</xdr:colOff>
      <xdr:row>150</xdr:row>
      <xdr:rowOff>54113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39F4709-93E4-4927-8FE6-9FACA455EC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6350</xdr:colOff>
      <xdr:row>0</xdr:row>
      <xdr:rowOff>0</xdr:rowOff>
    </xdr:from>
    <xdr:to>
      <xdr:col>16</xdr:col>
      <xdr:colOff>197302</xdr:colOff>
      <xdr:row>7</xdr:row>
      <xdr:rowOff>63689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5A8887-FFBD-48EC-8D0D-1C4CCDD95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48900" y="0"/>
          <a:ext cx="3238952" cy="1352739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35</xdr:row>
      <xdr:rowOff>12700</xdr:rowOff>
    </xdr:from>
    <xdr:to>
      <xdr:col>3</xdr:col>
      <xdr:colOff>0</xdr:colOff>
      <xdr:row>38</xdr:row>
      <xdr:rowOff>155672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B7341B-9F67-4BB7-84C9-C10227858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8450" y="6457950"/>
          <a:ext cx="2743200" cy="695422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23628</xdr:rowOff>
    </xdr:from>
    <xdr:to>
      <xdr:col>4</xdr:col>
      <xdr:colOff>663368</xdr:colOff>
      <xdr:row>56</xdr:row>
      <xdr:rowOff>4577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FB2260-269E-4A58-9336-175D81321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55</xdr:row>
      <xdr:rowOff>169348</xdr:rowOff>
    </xdr:from>
    <xdr:to>
      <xdr:col>4</xdr:col>
      <xdr:colOff>666668</xdr:colOff>
      <xdr:row>70</xdr:row>
      <xdr:rowOff>147000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AC3D89-6C3F-4423-BD3C-966E94ADCD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669637</xdr:colOff>
      <xdr:row>40</xdr:row>
      <xdr:rowOff>175490</xdr:rowOff>
    </xdr:from>
    <xdr:to>
      <xdr:col>9</xdr:col>
      <xdr:colOff>127001</xdr:colOff>
      <xdr:row>55</xdr:row>
      <xdr:rowOff>147781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1FC42B5-673C-4ABB-88F5-E1A1C300B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681182</xdr:colOff>
      <xdr:row>55</xdr:row>
      <xdr:rowOff>173182</xdr:rowOff>
    </xdr:from>
    <xdr:to>
      <xdr:col>9</xdr:col>
      <xdr:colOff>138546</xdr:colOff>
      <xdr:row>70</xdr:row>
      <xdr:rowOff>145473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2F91BFB-22C2-4C5C-94C7-2100D0548F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115454</xdr:colOff>
      <xdr:row>40</xdr:row>
      <xdr:rowOff>173182</xdr:rowOff>
    </xdr:from>
    <xdr:to>
      <xdr:col>16</xdr:col>
      <xdr:colOff>600363</xdr:colOff>
      <xdr:row>55</xdr:row>
      <xdr:rowOff>145473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E34A496-A6A5-4E2D-A5ED-D96C0AA0C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138544</xdr:colOff>
      <xdr:row>55</xdr:row>
      <xdr:rowOff>163946</xdr:rowOff>
    </xdr:from>
    <xdr:to>
      <xdr:col>17</xdr:col>
      <xdr:colOff>23090</xdr:colOff>
      <xdr:row>70</xdr:row>
      <xdr:rowOff>136237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F2E2704-4348-4867-B561-42856D96B1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0</xdr:colOff>
      <xdr:row>78</xdr:row>
      <xdr:rowOff>23092</xdr:rowOff>
    </xdr:from>
    <xdr:to>
      <xdr:col>4</xdr:col>
      <xdr:colOff>46182</xdr:colOff>
      <xdr:row>84</xdr:row>
      <xdr:rowOff>18809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3D3C63-CF7C-441D-8F16-E75BD372D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4431819"/>
          <a:ext cx="3960091" cy="1104081"/>
        </a:xfrm>
        <a:prstGeom prst="rect">
          <a:avLst/>
        </a:prstGeom>
      </xdr:spPr>
    </xdr:pic>
    <xdr:clientData/>
  </xdr:twoCellAnchor>
  <xdr:twoCellAnchor>
    <xdr:from>
      <xdr:col>16</xdr:col>
      <xdr:colOff>392544</xdr:colOff>
      <xdr:row>77</xdr:row>
      <xdr:rowOff>13854</xdr:rowOff>
    </xdr:from>
    <xdr:to>
      <xdr:col>27</xdr:col>
      <xdr:colOff>380999</xdr:colOff>
      <xdr:row>96</xdr:row>
      <xdr:rowOff>57727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D2F081-5146-433E-BB76-9176D3022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119</xdr:row>
      <xdr:rowOff>25400</xdr:rowOff>
    </xdr:from>
    <xdr:to>
      <xdr:col>6</xdr:col>
      <xdr:colOff>508002</xdr:colOff>
      <xdr:row>137</xdr:row>
      <xdr:rowOff>34636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217E3C1-30F6-4BDC-A4DD-5FC507952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496453</xdr:colOff>
      <xdr:row>118</xdr:row>
      <xdr:rowOff>173182</xdr:rowOff>
    </xdr:from>
    <xdr:to>
      <xdr:col>14</xdr:col>
      <xdr:colOff>23089</xdr:colOff>
      <xdr:row>137</xdr:row>
      <xdr:rowOff>46181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4C040AF-4302-4039-B7C8-D01BC65B5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</xdr:col>
      <xdr:colOff>11546</xdr:colOff>
      <xdr:row>113</xdr:row>
      <xdr:rowOff>173182</xdr:rowOff>
    </xdr:from>
    <xdr:to>
      <xdr:col>2</xdr:col>
      <xdr:colOff>762577</xdr:colOff>
      <xdr:row>116</xdr:row>
      <xdr:rowOff>28632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7656DE7-E526-4FB1-8F31-1BF30DFA6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0182" y="21047364"/>
          <a:ext cx="2067213" cy="409632"/>
        </a:xfrm>
        <a:prstGeom prst="rect">
          <a:avLst/>
        </a:prstGeom>
      </xdr:spPr>
    </xdr:pic>
    <xdr:clientData/>
  </xdr:twoCellAnchor>
  <xdr:twoCellAnchor editAs="oneCell">
    <xdr:from>
      <xdr:col>14</xdr:col>
      <xdr:colOff>69275</xdr:colOff>
      <xdr:row>113</xdr:row>
      <xdr:rowOff>34637</xdr:rowOff>
    </xdr:from>
    <xdr:to>
      <xdr:col>19</xdr:col>
      <xdr:colOff>600365</xdr:colOff>
      <xdr:row>119</xdr:row>
      <xdr:rowOff>23092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9E0CFA2-A569-4704-83F6-1BD0A2A91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635184" y="20908819"/>
          <a:ext cx="3590636" cy="109681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114</xdr:row>
      <xdr:rowOff>46182</xdr:rowOff>
    </xdr:from>
    <xdr:to>
      <xdr:col>8</xdr:col>
      <xdr:colOff>100395</xdr:colOff>
      <xdr:row>119</xdr:row>
      <xdr:rowOff>56126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A4698A4-234E-4341-9DE6-1A07A47A1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11818" y="21105091"/>
          <a:ext cx="1705213" cy="933580"/>
        </a:xfrm>
        <a:prstGeom prst="rect">
          <a:avLst/>
        </a:prstGeom>
      </xdr:spPr>
    </xdr:pic>
    <xdr:clientData/>
  </xdr:twoCellAnchor>
  <xdr:twoCellAnchor>
    <xdr:from>
      <xdr:col>14</xdr:col>
      <xdr:colOff>23091</xdr:colOff>
      <xdr:row>119</xdr:row>
      <xdr:rowOff>175491</xdr:rowOff>
    </xdr:from>
    <xdr:to>
      <xdr:col>22</xdr:col>
      <xdr:colOff>34636</xdr:colOff>
      <xdr:row>137</xdr:row>
      <xdr:rowOff>11546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9E588F0F-AA55-42E9-959D-6120D175F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AM62"/>
  <sheetViews>
    <sheetView zoomScale="70" zoomScaleNormal="70" workbookViewId="0">
      <selection activeCell="R55" sqref="R55"/>
    </sheetView>
  </sheetViews>
  <sheetFormatPr defaultColWidth="10.90625" defaultRowHeight="14.5" x14ac:dyDescent="0.35"/>
  <cols>
    <col min="1" max="1" width="4.81640625" customWidth="1"/>
    <col min="2" max="2" width="7.7265625" customWidth="1"/>
    <col min="5" max="5" width="9.54296875" customWidth="1"/>
    <col min="6" max="6" width="9.453125" customWidth="1"/>
    <col min="13" max="13" width="17.26953125" bestFit="1" customWidth="1"/>
    <col min="14" max="14" width="12.453125" bestFit="1" customWidth="1"/>
    <col min="16" max="16" width="12.453125" bestFit="1" customWidth="1"/>
  </cols>
  <sheetData>
    <row r="1" spans="2:38" x14ac:dyDescent="0.35">
      <c r="B1" t="s">
        <v>0</v>
      </c>
    </row>
    <row r="2" spans="2:38" ht="14.5" customHeight="1" x14ac:dyDescent="0.35">
      <c r="B2" s="43" t="s">
        <v>1</v>
      </c>
      <c r="C2" s="43"/>
      <c r="D2" s="43"/>
      <c r="E2" s="43"/>
      <c r="F2" s="43"/>
    </row>
    <row r="3" spans="2:38" ht="15" thickBot="1" x14ac:dyDescent="0.4">
      <c r="B3" s="43"/>
      <c r="C3" s="43"/>
      <c r="D3" s="43"/>
      <c r="E3" s="43"/>
      <c r="F3" s="43"/>
      <c r="N3" t="s">
        <v>12</v>
      </c>
    </row>
    <row r="4" spans="2:38" ht="44" thickBot="1" x14ac:dyDescent="0.4">
      <c r="B4" s="1" t="s">
        <v>2</v>
      </c>
      <c r="C4" s="1" t="s">
        <v>3</v>
      </c>
      <c r="D4" s="1" t="s">
        <v>4</v>
      </c>
      <c r="E4" s="1" t="s">
        <v>5</v>
      </c>
      <c r="H4" s="5" t="s">
        <v>8</v>
      </c>
      <c r="I4" s="6"/>
      <c r="J4" s="6" t="s">
        <v>6</v>
      </c>
      <c r="K4" s="6" t="s">
        <v>7</v>
      </c>
      <c r="M4" s="5" t="s">
        <v>9</v>
      </c>
    </row>
    <row r="5" spans="2:38" x14ac:dyDescent="0.35">
      <c r="B5" s="2">
        <v>1</v>
      </c>
      <c r="C5" s="3">
        <v>0.75</v>
      </c>
      <c r="D5" s="3">
        <v>3.92</v>
      </c>
      <c r="E5" s="4">
        <v>7298</v>
      </c>
      <c r="I5" s="6">
        <v>1</v>
      </c>
      <c r="J5" s="7">
        <v>3.92</v>
      </c>
      <c r="K5" s="8">
        <v>7298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6">
        <v>1</v>
      </c>
      <c r="AI5" s="6">
        <v>1</v>
      </c>
      <c r="AJ5" s="6">
        <v>1</v>
      </c>
      <c r="AK5" s="6">
        <v>1</v>
      </c>
      <c r="AL5" s="6">
        <v>1</v>
      </c>
    </row>
    <row r="6" spans="2:38" x14ac:dyDescent="0.35">
      <c r="B6" s="2">
        <v>2</v>
      </c>
      <c r="C6" s="3">
        <v>0.71</v>
      </c>
      <c r="D6" s="3">
        <v>3.61</v>
      </c>
      <c r="E6" s="4">
        <v>6855</v>
      </c>
      <c r="I6" s="6">
        <v>1</v>
      </c>
      <c r="J6" s="7">
        <v>3.61</v>
      </c>
      <c r="K6" s="8">
        <v>6855</v>
      </c>
      <c r="N6" s="7">
        <v>3.92</v>
      </c>
      <c r="O6" s="7">
        <v>3.61</v>
      </c>
      <c r="P6" s="7">
        <v>3.32</v>
      </c>
      <c r="Q6" s="7">
        <v>3.07</v>
      </c>
      <c r="R6" s="7">
        <v>3.06</v>
      </c>
      <c r="S6" s="7">
        <v>3.11</v>
      </c>
      <c r="T6" s="7">
        <v>3.21</v>
      </c>
      <c r="U6" s="7">
        <v>3.26</v>
      </c>
      <c r="V6" s="7">
        <v>3.42</v>
      </c>
      <c r="W6" s="7">
        <v>3.42</v>
      </c>
      <c r="X6" s="7">
        <v>3.45</v>
      </c>
      <c r="Y6" s="7">
        <v>3.58</v>
      </c>
      <c r="Z6" s="7">
        <v>3.66</v>
      </c>
      <c r="AA6" s="7">
        <v>3.78</v>
      </c>
      <c r="AB6" s="7">
        <v>3.82</v>
      </c>
      <c r="AC6" s="7">
        <v>3.97</v>
      </c>
      <c r="AD6" s="7">
        <v>4.07</v>
      </c>
      <c r="AE6" s="7">
        <v>4.25</v>
      </c>
      <c r="AF6" s="7">
        <v>4.41</v>
      </c>
      <c r="AG6" s="7">
        <v>4.49</v>
      </c>
      <c r="AH6" s="7">
        <v>4.7</v>
      </c>
      <c r="AI6" s="7">
        <v>4.58</v>
      </c>
      <c r="AJ6" s="7">
        <v>4.6900000000000004</v>
      </c>
      <c r="AK6" s="7">
        <v>4.71</v>
      </c>
      <c r="AL6" s="7">
        <v>4.78</v>
      </c>
    </row>
    <row r="7" spans="2:38" x14ac:dyDescent="0.35">
      <c r="B7" s="2">
        <v>3</v>
      </c>
      <c r="C7" s="3">
        <v>0.66</v>
      </c>
      <c r="D7" s="3">
        <v>3.32</v>
      </c>
      <c r="E7" s="4">
        <v>6636</v>
      </c>
      <c r="I7" s="6">
        <v>1</v>
      </c>
      <c r="J7" s="7">
        <v>3.32</v>
      </c>
      <c r="K7" s="8">
        <v>6636</v>
      </c>
      <c r="N7" s="8">
        <v>7298</v>
      </c>
      <c r="O7" s="8">
        <v>6855</v>
      </c>
      <c r="P7" s="8">
        <v>6636</v>
      </c>
      <c r="Q7" s="8">
        <v>6506</v>
      </c>
      <c r="R7" s="8">
        <v>6450</v>
      </c>
      <c r="S7" s="8">
        <v>6402</v>
      </c>
      <c r="T7" s="8">
        <v>6368</v>
      </c>
      <c r="U7" s="8">
        <v>6340</v>
      </c>
      <c r="V7" s="8">
        <v>6349</v>
      </c>
      <c r="W7" s="8">
        <v>6352</v>
      </c>
      <c r="X7" s="8">
        <v>6361</v>
      </c>
      <c r="Y7" s="8">
        <v>6369</v>
      </c>
      <c r="Z7" s="8">
        <v>6546</v>
      </c>
      <c r="AA7" s="8">
        <v>6672</v>
      </c>
      <c r="AB7" s="8">
        <v>6890</v>
      </c>
      <c r="AC7" s="8">
        <v>7115</v>
      </c>
      <c r="AD7" s="8">
        <v>7327</v>
      </c>
      <c r="AE7" s="8">
        <v>7546</v>
      </c>
      <c r="AF7" s="8">
        <v>7931</v>
      </c>
      <c r="AG7" s="8">
        <v>8097</v>
      </c>
      <c r="AH7" s="8">
        <v>8468</v>
      </c>
      <c r="AI7" s="8">
        <v>8717</v>
      </c>
      <c r="AJ7" s="8">
        <v>8991</v>
      </c>
      <c r="AK7" s="8">
        <v>9179</v>
      </c>
      <c r="AL7" s="8">
        <v>9318</v>
      </c>
    </row>
    <row r="8" spans="2:38" x14ac:dyDescent="0.35">
      <c r="B8" s="2">
        <v>4</v>
      </c>
      <c r="C8" s="3">
        <v>0.61</v>
      </c>
      <c r="D8" s="3">
        <v>3.07</v>
      </c>
      <c r="E8" s="4">
        <v>6506</v>
      </c>
      <c r="I8" s="6">
        <v>1</v>
      </c>
      <c r="J8" s="7">
        <v>3.07</v>
      </c>
      <c r="K8" s="8">
        <v>6506</v>
      </c>
      <c r="N8" cm="1">
        <f t="array" ref="N8:N10">MMULT(_xlfn.ANCHORARRAY($N$18),N5:N7)</f>
        <v>2.6717350218659064E-2</v>
      </c>
      <c r="O8" cm="1">
        <f t="array" ref="O8:O10">MMULT(_xlfn.ANCHORARRAY($N$18),O5:O7)</f>
        <v>0.15366499710252146</v>
      </c>
      <c r="P8" cm="1">
        <f t="array" ref="P8:P10">MMULT(_xlfn.ANCHORARRAY($N$18),P5:P7)</f>
        <v>0.20482274232195641</v>
      </c>
      <c r="Q8" cm="1">
        <f t="array" ref="Q8:Q10">MMULT(_xlfn.ANCHORARRAY($N$18),Q5:Q7)</f>
        <v>0.22858645594591431</v>
      </c>
      <c r="R8" cm="1">
        <f t="array" ref="R8:R10">MMULT(_xlfn.ANCHORARRAY($N$18),R5:R7)</f>
        <v>0.2471098100732001</v>
      </c>
      <c r="S8" cm="1">
        <f t="array" ref="S8:S10">MMULT(_xlfn.ANCHORARRAY($N$18),S5:S7)</f>
        <v>0.26795524870849174</v>
      </c>
      <c r="T8" cm="1">
        <f t="array" ref="T8:T10">MMULT(_xlfn.ANCHORARRAY($N$18),T5:T7)</f>
        <v>0.28819900105576179</v>
      </c>
      <c r="U8" cm="1">
        <f t="array" ref="U8:U10">MMULT(_xlfn.ANCHORARRAY($N$18),U5:U7)</f>
        <v>0.30212601229643621</v>
      </c>
      <c r="V8" cm="1">
        <f t="array" ref="V8:V10">MMULT(_xlfn.ANCHORARRAY($N$18),V5:V7)</f>
        <v>0.31258460121113218</v>
      </c>
      <c r="W8" cm="1">
        <f t="array" ref="W8:W10">MMULT(_xlfn.ANCHORARRAY($N$18),W5:W7)</f>
        <v>0.31154683710193964</v>
      </c>
      <c r="X8" cm="1">
        <f t="array" ref="X8:X10">MMULT(_xlfn.ANCHORARRAY($N$18),X5:X7)</f>
        <v>0.31097827250728827</v>
      </c>
      <c r="Y8" cm="1">
        <f t="array" ref="Y8:Y10">MMULT(_xlfn.ANCHORARRAY($N$18),Y5:Y7)</f>
        <v>0.31923805505878855</v>
      </c>
      <c r="Z8" cm="1">
        <f t="array" ref="Z8:Z10">MMULT(_xlfn.ANCHORARRAY($N$18),Z5:Z7)</f>
        <v>0.26479591323756502</v>
      </c>
      <c r="AA8" cm="1">
        <f t="array" ref="AA8:AA10">MMULT(_xlfn.ANCHORARRAY($N$18),AA5:AA7)</f>
        <v>0.23138873158318285</v>
      </c>
      <c r="AB8" cm="1">
        <f t="array" ref="AB8:AB10">MMULT(_xlfn.ANCHORARRAY($N$18),AB5:AB7)</f>
        <v>0.15937084329242568</v>
      </c>
      <c r="AC8" cm="1">
        <f t="array" ref="AC8:AC10">MMULT(_xlfn.ANCHORARRAY($N$18),AC5:AC7)</f>
        <v>9.4262173767615476E-2</v>
      </c>
      <c r="AD8" cm="1">
        <f t="array" ref="AD8:AD10">MMULT(_xlfn.ANCHORARRAY($N$18),AD5:AD7)</f>
        <v>2.9409269161096319E-2</v>
      </c>
      <c r="AE8" cm="1">
        <f t="array" ref="AE8:AE10">MMULT(_xlfn.ANCHORARRAY($N$18),AE5:AE7)</f>
        <v>-3.107914441240256E-2</v>
      </c>
      <c r="AF8" cm="1">
        <f t="array" ref="AF8:AF10">MMULT(_xlfn.ANCHORARRAY($N$18),AF5:AF7)</f>
        <v>-0.15068699051650691</v>
      </c>
      <c r="AG8" cm="1">
        <f t="array" ref="AG8:AG10">MMULT(_xlfn.ANCHORARRAY($N$18),AG5:AG7)</f>
        <v>-0.20132399727069172</v>
      </c>
      <c r="AH8" cm="1">
        <f t="array" ref="AH8:AH10">MMULT(_xlfn.ANCHORARRAY($N$18),AH5:AH7)</f>
        <v>-0.31184773131035293</v>
      </c>
      <c r="AI8" cm="1">
        <f t="array" ref="AI8:AI10">MMULT(_xlfn.ANCHORARRAY($N$18),AI5:AI7)</f>
        <v>-0.40816106330504054</v>
      </c>
      <c r="AJ8" cm="1">
        <f t="array" ref="AJ8:AJ10">MMULT(_xlfn.ANCHORARRAY($N$18),AJ5:AJ7)</f>
        <v>-0.49361285025723101</v>
      </c>
      <c r="AK8" cm="1">
        <f t="array" ref="AK8:AK10">MMULT(_xlfn.ANCHORARRAY($N$18),AK5:AK7)</f>
        <v>-0.55694958261134664</v>
      </c>
      <c r="AL8" cm="1">
        <f t="array" ref="AL8:AL10">MMULT(_xlfn.ANCHORARRAY($N$18),AL5:AL7)</f>
        <v>-0.59909495496044052</v>
      </c>
    </row>
    <row r="9" spans="2:38" x14ac:dyDescent="0.35">
      <c r="B9" s="2">
        <v>5</v>
      </c>
      <c r="C9" s="3">
        <v>0.7</v>
      </c>
      <c r="D9" s="3">
        <v>3.06</v>
      </c>
      <c r="E9" s="4">
        <v>6450</v>
      </c>
      <c r="I9" s="6">
        <v>1</v>
      </c>
      <c r="J9" s="7">
        <v>3.06</v>
      </c>
      <c r="K9" s="8">
        <v>6450</v>
      </c>
      <c r="N9">
        <v>3.9895441205086257E-2</v>
      </c>
      <c r="O9">
        <v>-3.5658471121288393E-2</v>
      </c>
      <c r="P9">
        <v>-0.2215853589897403</v>
      </c>
      <c r="Q9">
        <v>-0.41654004775117581</v>
      </c>
      <c r="R9">
        <v>-0.39437923243335549</v>
      </c>
      <c r="S9">
        <v>-0.31174722751074357</v>
      </c>
      <c r="T9">
        <v>-0.18304735502444069</v>
      </c>
      <c r="U9">
        <v>-0.11221023312083522</v>
      </c>
      <c r="V9">
        <v>5.6319783686998193E-2</v>
      </c>
      <c r="W9">
        <v>5.4550551234147093E-2</v>
      </c>
      <c r="X9">
        <v>8.1837425281792164E-2</v>
      </c>
      <c r="Y9">
        <v>0.21836261483437891</v>
      </c>
      <c r="Z9">
        <v>0.20089675719936206</v>
      </c>
      <c r="AA9">
        <v>0.25696727980440937</v>
      </c>
      <c r="AB9">
        <v>0.17186248343883292</v>
      </c>
      <c r="AC9">
        <v>0.20214290650599409</v>
      </c>
      <c r="AD9">
        <v>0.18576571785851481</v>
      </c>
      <c r="AE9">
        <v>0.25217917723757477</v>
      </c>
      <c r="AF9">
        <v>0.19896539328808238</v>
      </c>
      <c r="AG9">
        <v>0.18798672131351957</v>
      </c>
      <c r="AH9">
        <v>0.19735364115432663</v>
      </c>
      <c r="AI9">
        <v>-7.987093805709744E-2</v>
      </c>
      <c r="AJ9">
        <v>-0.1219474069280988</v>
      </c>
      <c r="AK9">
        <v>-0.21108959303596464</v>
      </c>
      <c r="AL9">
        <v>-0.21701003007026731</v>
      </c>
    </row>
    <row r="10" spans="2:38" x14ac:dyDescent="0.35">
      <c r="B10" s="2">
        <v>6</v>
      </c>
      <c r="C10" s="3">
        <v>0.72</v>
      </c>
      <c r="D10" s="3">
        <v>3.11</v>
      </c>
      <c r="E10" s="4">
        <v>6402</v>
      </c>
      <c r="I10" s="6">
        <v>1</v>
      </c>
      <c r="J10" s="7">
        <v>3.11</v>
      </c>
      <c r="K10" s="8">
        <v>6402</v>
      </c>
      <c r="N10">
        <v>-1.9391442383683184E-5</v>
      </c>
      <c r="O10">
        <v>3.2786743110165342E-6</v>
      </c>
      <c r="P10">
        <v>9.5132977292306485E-5</v>
      </c>
      <c r="Q10">
        <v>1.9557223373646527E-4</v>
      </c>
      <c r="R10">
        <v>1.8122490791956962E-4</v>
      </c>
      <c r="S10">
        <v>1.3438504266371056E-4</v>
      </c>
      <c r="T10">
        <v>6.3119161691934083E-5</v>
      </c>
      <c r="U10">
        <v>2.3509570481217937E-5</v>
      </c>
      <c r="V10">
        <v>-6.759587035052271E-5</v>
      </c>
      <c r="W10">
        <v>-6.6511329243751621E-5</v>
      </c>
      <c r="X10">
        <v>-8.0950030451948027E-5</v>
      </c>
      <c r="Y10">
        <v>-1.5472466045743502E-4</v>
      </c>
      <c r="Z10">
        <v>-1.3791626723395206E-4</v>
      </c>
      <c r="AA10">
        <v>-1.6313483886359458E-4</v>
      </c>
      <c r="AB10">
        <v>-1.0791461780955587E-4</v>
      </c>
      <c r="AC10">
        <v>-1.1503565744425386E-4</v>
      </c>
      <c r="AD10">
        <v>-9.7369167660778418E-5</v>
      </c>
      <c r="AE10">
        <v>-1.2435161403752957E-4</v>
      </c>
      <c r="AF10">
        <v>-7.9527902820591533E-5</v>
      </c>
      <c r="AG10">
        <v>-6.6696160321935618E-5</v>
      </c>
      <c r="AH10">
        <v>-5.6420848484114734E-5</v>
      </c>
      <c r="AI10">
        <v>1.0436536149195045E-4</v>
      </c>
      <c r="AJ10">
        <v>1.3854825930586416E-4</v>
      </c>
      <c r="AK10">
        <v>1.9471795231119698E-4</v>
      </c>
      <c r="AL10">
        <v>2.0368626635841299E-4</v>
      </c>
    </row>
    <row r="11" spans="2:38" x14ac:dyDescent="0.35">
      <c r="B11" s="2">
        <v>7</v>
      </c>
      <c r="C11" s="3">
        <v>0.77</v>
      </c>
      <c r="D11" s="3">
        <v>3.21</v>
      </c>
      <c r="E11" s="4">
        <v>6368</v>
      </c>
      <c r="I11" s="6">
        <v>1</v>
      </c>
      <c r="J11" s="7">
        <v>3.21</v>
      </c>
      <c r="K11" s="8">
        <v>6368</v>
      </c>
      <c r="N11" t="s">
        <v>13</v>
      </c>
    </row>
    <row r="12" spans="2:38" x14ac:dyDescent="0.35">
      <c r="B12" s="2">
        <v>8</v>
      </c>
      <c r="C12" s="3">
        <v>0.74</v>
      </c>
      <c r="D12" s="3">
        <v>3.26</v>
      </c>
      <c r="E12" s="4">
        <v>6340</v>
      </c>
      <c r="I12" s="6">
        <v>1</v>
      </c>
      <c r="J12" s="7">
        <v>3.26</v>
      </c>
      <c r="K12" s="8">
        <v>6340</v>
      </c>
      <c r="M12" s="5" t="s">
        <v>10</v>
      </c>
      <c r="N12" s="6" cm="1">
        <f t="array" ref="N12:P14">MMULT(N5:AL7,I5:K29)</f>
        <v>25</v>
      </c>
      <c r="O12" s="6">
        <v>96.339999999999989</v>
      </c>
      <c r="P12" s="6">
        <v>181083</v>
      </c>
    </row>
    <row r="13" spans="2:38" x14ac:dyDescent="0.35">
      <c r="B13" s="2">
        <v>9</v>
      </c>
      <c r="C13" s="3">
        <v>0.9</v>
      </c>
      <c r="D13" s="3">
        <v>3.42</v>
      </c>
      <c r="E13" s="4">
        <v>6349</v>
      </c>
      <c r="I13" s="6">
        <v>1</v>
      </c>
      <c r="J13" s="7">
        <v>3.42</v>
      </c>
      <c r="K13" s="8">
        <v>6349</v>
      </c>
      <c r="N13" s="6">
        <v>96.339999999999989</v>
      </c>
      <c r="O13" s="6">
        <v>379.2928</v>
      </c>
      <c r="P13" s="6">
        <v>710932.32</v>
      </c>
    </row>
    <row r="14" spans="2:38" x14ac:dyDescent="0.35">
      <c r="B14" s="2">
        <v>10</v>
      </c>
      <c r="C14" s="3">
        <v>0.82</v>
      </c>
      <c r="D14" s="3">
        <v>3.42</v>
      </c>
      <c r="E14" s="4">
        <v>6352</v>
      </c>
      <c r="I14" s="6">
        <v>1</v>
      </c>
      <c r="J14" s="7">
        <v>3.42</v>
      </c>
      <c r="K14" s="8">
        <v>6352</v>
      </c>
      <c r="N14" s="6">
        <v>181083</v>
      </c>
      <c r="O14" s="6">
        <v>710932.32</v>
      </c>
      <c r="P14" s="6">
        <v>1335796275</v>
      </c>
    </row>
    <row r="15" spans="2:38" x14ac:dyDescent="0.35">
      <c r="B15" s="2">
        <v>11</v>
      </c>
      <c r="C15" s="3">
        <v>0.75</v>
      </c>
      <c r="D15" s="3">
        <v>3.45</v>
      </c>
      <c r="E15" s="4">
        <v>6361</v>
      </c>
      <c r="I15" s="6">
        <v>1</v>
      </c>
      <c r="J15" s="7">
        <v>3.45</v>
      </c>
      <c r="K15" s="8">
        <v>6361</v>
      </c>
    </row>
    <row r="16" spans="2:38" x14ac:dyDescent="0.35">
      <c r="B16" s="2">
        <v>12</v>
      </c>
      <c r="C16" s="3">
        <v>0.77</v>
      </c>
      <c r="D16" s="3">
        <v>3.58</v>
      </c>
      <c r="E16" s="4">
        <v>6369</v>
      </c>
      <c r="I16" s="6">
        <v>1</v>
      </c>
      <c r="J16" s="7">
        <v>3.58</v>
      </c>
      <c r="K16" s="8">
        <v>6369</v>
      </c>
    </row>
    <row r="17" spans="2:19" x14ac:dyDescent="0.35">
      <c r="B17" s="2">
        <v>13</v>
      </c>
      <c r="C17" s="3">
        <v>0.78</v>
      </c>
      <c r="D17" s="3">
        <v>3.66</v>
      </c>
      <c r="E17" s="4">
        <v>6546</v>
      </c>
      <c r="I17" s="6">
        <v>1</v>
      </c>
      <c r="J17" s="7">
        <v>3.66</v>
      </c>
      <c r="K17" s="8">
        <v>6546</v>
      </c>
    </row>
    <row r="18" spans="2:19" x14ac:dyDescent="0.35">
      <c r="B18" s="2">
        <v>14</v>
      </c>
      <c r="C18" s="3">
        <v>0.84</v>
      </c>
      <c r="D18" s="3">
        <v>3.78</v>
      </c>
      <c r="E18" s="4">
        <v>6672</v>
      </c>
      <c r="I18" s="6">
        <v>1</v>
      </c>
      <c r="J18" s="7">
        <v>3.78</v>
      </c>
      <c r="K18" s="8">
        <v>6672</v>
      </c>
      <c r="M18" s="5" t="s">
        <v>14</v>
      </c>
      <c r="N18" s="6" cm="1">
        <f t="array" ref="N18:P20">MINVERSE(N12:P14)</f>
        <v>2.2187404160787096</v>
      </c>
      <c r="O18" s="6">
        <v>8.4824257764210986E-2</v>
      </c>
      <c r="P18" s="6">
        <v>-3.4592136973085196E-4</v>
      </c>
    </row>
    <row r="19" spans="2:19" x14ac:dyDescent="0.35">
      <c r="B19" s="2">
        <v>15</v>
      </c>
      <c r="C19" s="3">
        <v>0.79</v>
      </c>
      <c r="D19" s="3">
        <v>3.82</v>
      </c>
      <c r="E19" s="4">
        <v>6890</v>
      </c>
      <c r="I19" s="6">
        <v>1</v>
      </c>
      <c r="J19" s="7">
        <v>3.82</v>
      </c>
      <c r="K19" s="8">
        <v>6890</v>
      </c>
      <c r="N19" s="6">
        <v>8.4824257764178804E-2</v>
      </c>
      <c r="O19" s="6">
        <v>1.0864857135399166</v>
      </c>
      <c r="P19" s="6">
        <v>-5.8974415095033785E-4</v>
      </c>
    </row>
    <row r="20" spans="2:19" x14ac:dyDescent="0.35">
      <c r="B20" s="2">
        <v>16</v>
      </c>
      <c r="C20" s="3">
        <v>0.7</v>
      </c>
      <c r="D20" s="3">
        <v>3.97</v>
      </c>
      <c r="E20" s="4">
        <v>7115</v>
      </c>
      <c r="I20" s="6">
        <v>1</v>
      </c>
      <c r="J20" s="7">
        <v>3.97</v>
      </c>
      <c r="K20" s="8">
        <v>7115</v>
      </c>
      <c r="N20" s="6">
        <v>-3.4592136973083461E-4</v>
      </c>
      <c r="O20" s="6">
        <v>-5.897441509503423E-4</v>
      </c>
      <c r="P20" s="6">
        <v>3.6151370225712431E-7</v>
      </c>
    </row>
    <row r="21" spans="2:19" x14ac:dyDescent="0.35">
      <c r="B21" s="2">
        <v>17</v>
      </c>
      <c r="C21" s="3">
        <v>0.68</v>
      </c>
      <c r="D21" s="3">
        <v>4.07</v>
      </c>
      <c r="E21" s="4">
        <v>7327</v>
      </c>
      <c r="I21" s="6">
        <v>1</v>
      </c>
      <c r="J21" s="7">
        <v>4.07</v>
      </c>
      <c r="K21" s="8">
        <v>7327</v>
      </c>
    </row>
    <row r="22" spans="2:19" x14ac:dyDescent="0.35">
      <c r="B22" s="2">
        <v>18</v>
      </c>
      <c r="C22" s="3">
        <v>0.72</v>
      </c>
      <c r="D22" s="3">
        <v>4.25</v>
      </c>
      <c r="E22" s="4">
        <v>7546</v>
      </c>
      <c r="I22" s="6">
        <v>1</v>
      </c>
      <c r="J22" s="7">
        <v>4.25</v>
      </c>
      <c r="K22" s="8">
        <v>7546</v>
      </c>
    </row>
    <row r="23" spans="2:19" x14ac:dyDescent="0.35">
      <c r="B23" s="2">
        <v>19</v>
      </c>
      <c r="C23" s="3">
        <v>0.55000000000000004</v>
      </c>
      <c r="D23" s="3">
        <v>4.41</v>
      </c>
      <c r="E23" s="4">
        <v>7931</v>
      </c>
      <c r="I23" s="6">
        <v>1</v>
      </c>
      <c r="J23" s="7">
        <v>4.41</v>
      </c>
      <c r="K23" s="8">
        <v>7931</v>
      </c>
      <c r="M23" s="5" t="s">
        <v>15</v>
      </c>
      <c r="N23" s="6" cm="1">
        <f t="array" ref="N23:N25">MMULT(N5:AL7,C5:C29)</f>
        <v>16.86</v>
      </c>
    </row>
    <row r="24" spans="2:19" x14ac:dyDescent="0.35">
      <c r="B24" s="2">
        <v>20</v>
      </c>
      <c r="C24" s="3">
        <v>0.63</v>
      </c>
      <c r="D24" s="3">
        <v>4.49</v>
      </c>
      <c r="E24" s="4">
        <v>8097</v>
      </c>
      <c r="I24" s="6">
        <v>1</v>
      </c>
      <c r="J24" s="7">
        <v>4.49</v>
      </c>
      <c r="K24" s="8">
        <v>8097</v>
      </c>
      <c r="N24" s="6">
        <v>63.612400000000001</v>
      </c>
      <c r="Q24" s="5" t="s">
        <v>23</v>
      </c>
      <c r="R24">
        <f>COUNTA(B5:B29)</f>
        <v>25</v>
      </c>
    </row>
    <row r="25" spans="2:19" x14ac:dyDescent="0.35">
      <c r="B25" s="2">
        <v>21</v>
      </c>
      <c r="C25" s="3">
        <v>0.56000000000000005</v>
      </c>
      <c r="D25" s="3">
        <v>4.7</v>
      </c>
      <c r="E25" s="4">
        <v>8468</v>
      </c>
      <c r="I25" s="6">
        <v>1</v>
      </c>
      <c r="J25" s="7">
        <v>4.7</v>
      </c>
      <c r="K25" s="8">
        <v>8468</v>
      </c>
      <c r="N25" s="6">
        <v>119215.94</v>
      </c>
      <c r="Q25" s="5" t="s">
        <v>24</v>
      </c>
      <c r="R25">
        <v>3</v>
      </c>
      <c r="S25" t="s">
        <v>25</v>
      </c>
    </row>
    <row r="26" spans="2:19" x14ac:dyDescent="0.35">
      <c r="B26" s="2">
        <v>22</v>
      </c>
      <c r="C26" s="3">
        <v>0.41</v>
      </c>
      <c r="D26" s="3">
        <v>4.58</v>
      </c>
      <c r="E26" s="4">
        <v>8717</v>
      </c>
      <c r="I26" s="6">
        <v>1</v>
      </c>
      <c r="J26" s="7">
        <v>4.58</v>
      </c>
      <c r="K26" s="8">
        <v>8717</v>
      </c>
    </row>
    <row r="27" spans="2:19" x14ac:dyDescent="0.35">
      <c r="B27" s="2">
        <v>23</v>
      </c>
      <c r="C27" s="3">
        <v>0.51</v>
      </c>
      <c r="D27" s="3">
        <v>4.6900000000000004</v>
      </c>
      <c r="E27" s="4">
        <v>8991</v>
      </c>
      <c r="I27" s="6">
        <v>1</v>
      </c>
      <c r="J27" s="7">
        <v>4.6900000000000004</v>
      </c>
      <c r="K27" s="8">
        <v>8991</v>
      </c>
    </row>
    <row r="28" spans="2:19" x14ac:dyDescent="0.35">
      <c r="B28" s="2">
        <v>24</v>
      </c>
      <c r="C28" s="3">
        <v>0.47</v>
      </c>
      <c r="D28" s="3">
        <v>4.71</v>
      </c>
      <c r="E28" s="4">
        <v>9179</v>
      </c>
      <c r="I28" s="6">
        <v>1</v>
      </c>
      <c r="J28" s="7">
        <v>4.71</v>
      </c>
      <c r="K28" s="8">
        <v>9179</v>
      </c>
    </row>
    <row r="29" spans="2:19" x14ac:dyDescent="0.35">
      <c r="B29" s="2">
        <v>25</v>
      </c>
      <c r="C29" s="3">
        <v>0.32</v>
      </c>
      <c r="D29" s="3">
        <v>4.78</v>
      </c>
      <c r="E29" s="4">
        <v>9318</v>
      </c>
      <c r="I29" s="6">
        <v>1</v>
      </c>
      <c r="J29" s="7">
        <v>4.78</v>
      </c>
      <c r="K29" s="8">
        <v>9318</v>
      </c>
      <c r="L29" t="s">
        <v>11</v>
      </c>
    </row>
    <row r="30" spans="2:19" x14ac:dyDescent="0.35">
      <c r="M30" t="s">
        <v>18</v>
      </c>
      <c r="N30" s="9" cm="1">
        <f t="array" ref="N30:N32">MMULT(N18:P20,N23:N25)</f>
        <v>1.5644967711360778</v>
      </c>
    </row>
    <row r="31" spans="2:19" x14ac:dyDescent="0.35">
      <c r="M31" t="s">
        <v>19</v>
      </c>
      <c r="N31" s="9">
        <v>0.23719747484422271</v>
      </c>
      <c r="O31" t="s">
        <v>16</v>
      </c>
    </row>
    <row r="32" spans="2:19" x14ac:dyDescent="0.35">
      <c r="M32" t="s">
        <v>20</v>
      </c>
      <c r="N32" s="9">
        <v>-2.4907928411223301E-4</v>
      </c>
    </row>
    <row r="35" spans="2:39" ht="15" thickBot="1" x14ac:dyDescent="0.4">
      <c r="M35" s="5" t="s">
        <v>26</v>
      </c>
      <c r="N35" cm="1">
        <f t="array" ref="N35:AM35">TRANSPOSE(G37:G62)</f>
        <v>7.3469742925645454E-2</v>
      </c>
      <c r="O35">
        <v>-3.3411627343646888E-3</v>
      </c>
      <c r="P35">
        <v>-3.9102258250118704E-2</v>
      </c>
      <c r="Q35">
        <v>-6.2183196473653335E-2</v>
      </c>
      <c r="R35">
        <v>1.6240338364503559E-2</v>
      </c>
      <c r="S35">
        <v>1.2424658984905079E-2</v>
      </c>
      <c r="T35">
        <v>3.0236215840667047E-2</v>
      </c>
      <c r="U35">
        <v>-1.8597877856686429E-2</v>
      </c>
      <c r="V35">
        <v>0.10569223972524766</v>
      </c>
      <c r="W35">
        <v>2.6439477577584358E-2</v>
      </c>
      <c r="X35">
        <v>-4.8434733110731765E-2</v>
      </c>
      <c r="Y35">
        <v>-5.7277770567582653E-2</v>
      </c>
      <c r="Z35">
        <v>-2.2166535267255538E-2</v>
      </c>
      <c r="AA35">
        <v>4.0753757549578995E-2</v>
      </c>
      <c r="AB35">
        <v>3.5565142492277158E-2</v>
      </c>
      <c r="AC35">
        <v>-3.3971639809104115E-2</v>
      </c>
      <c r="AD35">
        <v>-2.4886579061732861E-2</v>
      </c>
      <c r="AE35">
        <v>2.6966238686886079E-2</v>
      </c>
      <c r="AF35">
        <v>-8.5089832904979845E-2</v>
      </c>
      <c r="AG35">
        <v>1.7281530270112921E-2</v>
      </c>
      <c r="AH35">
        <v>-1.0121525041534962E-2</v>
      </c>
      <c r="AI35">
        <v>-6.9637086316282459E-2</v>
      </c>
      <c r="AJ35">
        <v>7.251891529760468E-2</v>
      </c>
      <c r="AK35">
        <v>7.4601871213820337E-2</v>
      </c>
      <c r="AL35">
        <v>-5.7379931533674988E-2</v>
      </c>
      <c r="AM35">
        <v>1.130984195185647E-12</v>
      </c>
    </row>
    <row r="36" spans="2:39" ht="43.5" x14ac:dyDescent="0.35">
      <c r="B36" s="10" t="s">
        <v>2</v>
      </c>
      <c r="C36" s="10" t="s">
        <v>3</v>
      </c>
      <c r="D36" s="10" t="s">
        <v>4</v>
      </c>
      <c r="E36" s="10" t="s">
        <v>5</v>
      </c>
      <c r="F36" s="10" t="s">
        <v>17</v>
      </c>
      <c r="G36" s="10" t="s">
        <v>21</v>
      </c>
    </row>
    <row r="37" spans="2:39" x14ac:dyDescent="0.35">
      <c r="B37" s="11">
        <v>1</v>
      </c>
      <c r="C37" s="7">
        <v>0.75</v>
      </c>
      <c r="D37" s="7">
        <v>3.92</v>
      </c>
      <c r="E37" s="8">
        <v>7298</v>
      </c>
      <c r="F37" s="12">
        <f>$N$30+$N$31*D37+$N$32*E37</f>
        <v>0.67653025707435455</v>
      </c>
      <c r="G37" s="12">
        <f>(-F37+C37)</f>
        <v>7.3469742925645454E-2</v>
      </c>
      <c r="M37" s="5" t="s">
        <v>22</v>
      </c>
      <c r="N37" cm="1">
        <f t="array" ref="N37">MMULT(_xlfn.ANCHORARRAY(N35),G37:G62)</f>
        <v>6.2504779831263194E-2</v>
      </c>
    </row>
    <row r="38" spans="2:39" x14ac:dyDescent="0.35">
      <c r="B38" s="11">
        <v>2</v>
      </c>
      <c r="C38" s="7">
        <v>0.71</v>
      </c>
      <c r="D38" s="7">
        <v>3.61</v>
      </c>
      <c r="E38" s="8">
        <v>6855</v>
      </c>
      <c r="F38" s="12">
        <f t="shared" ref="F38:F61" si="0">$N$30+$N$31*D38+$N$32*E38</f>
        <v>0.71334116273436465</v>
      </c>
      <c r="G38" s="12">
        <f t="shared" ref="G38:G61" si="1">(-F38+C38)</f>
        <v>-3.3411627343646888E-3</v>
      </c>
    </row>
    <row r="39" spans="2:39" x14ac:dyDescent="0.35">
      <c r="B39" s="11">
        <v>3</v>
      </c>
      <c r="C39" s="7">
        <v>0.66</v>
      </c>
      <c r="D39" s="7">
        <v>3.32</v>
      </c>
      <c r="E39" s="8">
        <v>6636</v>
      </c>
      <c r="F39" s="12">
        <f t="shared" si="0"/>
        <v>0.69910225825011874</v>
      </c>
      <c r="G39" s="12">
        <f t="shared" si="1"/>
        <v>-3.9102258250118704E-2</v>
      </c>
      <c r="M39" s="5" t="s">
        <v>27</v>
      </c>
      <c r="N39">
        <f>N37/(R24-R25)</f>
        <v>2.8411263559665087E-3</v>
      </c>
    </row>
    <row r="40" spans="2:39" x14ac:dyDescent="0.35">
      <c r="B40" s="11">
        <v>4</v>
      </c>
      <c r="C40" s="7">
        <v>0.61</v>
      </c>
      <c r="D40" s="7">
        <v>3.07</v>
      </c>
      <c r="E40" s="8">
        <v>6506</v>
      </c>
      <c r="F40" s="12">
        <f t="shared" si="0"/>
        <v>0.67218319647365332</v>
      </c>
      <c r="G40" s="12">
        <f t="shared" si="1"/>
        <v>-6.2183196473653335E-2</v>
      </c>
    </row>
    <row r="41" spans="2:39" x14ac:dyDescent="0.35">
      <c r="B41" s="11">
        <v>5</v>
      </c>
      <c r="C41" s="7">
        <v>0.7</v>
      </c>
      <c r="D41" s="7">
        <v>3.06</v>
      </c>
      <c r="E41" s="8">
        <v>6450</v>
      </c>
      <c r="F41" s="12">
        <f t="shared" si="0"/>
        <v>0.6837596616354964</v>
      </c>
      <c r="G41" s="12">
        <f t="shared" si="1"/>
        <v>1.6240338364503559E-2</v>
      </c>
      <c r="M41" s="5" t="s">
        <v>28</v>
      </c>
    </row>
    <row r="42" spans="2:39" x14ac:dyDescent="0.35">
      <c r="B42" s="11">
        <v>6</v>
      </c>
      <c r="C42" s="7">
        <v>0.72</v>
      </c>
      <c r="D42" s="7">
        <v>3.11</v>
      </c>
      <c r="E42" s="8">
        <v>6402</v>
      </c>
      <c r="F42" s="12">
        <f t="shared" si="0"/>
        <v>0.70757534101509489</v>
      </c>
      <c r="G42" s="12">
        <f t="shared" si="1"/>
        <v>1.2424658984905079E-2</v>
      </c>
      <c r="M42" t="s">
        <v>29</v>
      </c>
      <c r="N42" s="9">
        <f>$N$39*N18</f>
        <v>6.3037218731693198E-3</v>
      </c>
      <c r="O42" s="6">
        <f t="shared" ref="O42:P42" si="2">$N$39*O18</f>
        <v>2.4099643435919658E-4</v>
      </c>
      <c r="P42" s="6">
        <f t="shared" si="2"/>
        <v>-9.8280632063435885E-7</v>
      </c>
      <c r="Q42" t="s">
        <v>18</v>
      </c>
    </row>
    <row r="43" spans="2:39" x14ac:dyDescent="0.35">
      <c r="B43" s="11">
        <v>7</v>
      </c>
      <c r="C43" s="7">
        <v>0.77</v>
      </c>
      <c r="D43" s="7">
        <v>3.21</v>
      </c>
      <c r="E43" s="8">
        <v>6368</v>
      </c>
      <c r="F43" s="12">
        <f t="shared" si="0"/>
        <v>0.73976378415933297</v>
      </c>
      <c r="G43" s="12">
        <f t="shared" si="1"/>
        <v>3.0236215840667047E-2</v>
      </c>
      <c r="N43" s="6">
        <f t="shared" ref="N43:P43" si="3">$N$39*N19</f>
        <v>2.4099643435910516E-4</v>
      </c>
      <c r="O43" s="9">
        <f t="shared" si="3"/>
        <v>3.0868431961193353E-3</v>
      </c>
      <c r="P43" s="6">
        <f t="shared" si="3"/>
        <v>-1.6755376505420961E-6</v>
      </c>
      <c r="Q43" t="s">
        <v>19</v>
      </c>
    </row>
    <row r="44" spans="2:39" x14ac:dyDescent="0.35">
      <c r="B44" s="11">
        <v>8</v>
      </c>
      <c r="C44" s="7">
        <v>0.74</v>
      </c>
      <c r="D44" s="7">
        <v>3.26</v>
      </c>
      <c r="E44" s="8">
        <v>6340</v>
      </c>
      <c r="F44" s="12">
        <f t="shared" si="0"/>
        <v>0.75859787785668642</v>
      </c>
      <c r="G44" s="12">
        <f t="shared" si="1"/>
        <v>-1.8597877856686429E-2</v>
      </c>
      <c r="N44" s="6">
        <f t="shared" ref="N44:P44" si="4">$N$39*N20</f>
        <v>-9.8280632063430951E-7</v>
      </c>
      <c r="O44" s="6">
        <f t="shared" si="4"/>
        <v>-1.6755376505421086E-6</v>
      </c>
      <c r="P44" s="9">
        <f t="shared" si="4"/>
        <v>1.027106107525745E-9</v>
      </c>
      <c r="Q44" t="s">
        <v>20</v>
      </c>
    </row>
    <row r="45" spans="2:39" x14ac:dyDescent="0.35">
      <c r="B45" s="11">
        <v>9</v>
      </c>
      <c r="C45" s="7">
        <v>0.9</v>
      </c>
      <c r="D45" s="7">
        <v>3.42</v>
      </c>
      <c r="E45" s="8">
        <v>6349</v>
      </c>
      <c r="F45" s="12">
        <f t="shared" si="0"/>
        <v>0.79430776027475236</v>
      </c>
      <c r="G45" s="12">
        <f t="shared" si="1"/>
        <v>0.10569223972524766</v>
      </c>
    </row>
    <row r="46" spans="2:39" x14ac:dyDescent="0.35">
      <c r="B46" s="11">
        <v>10</v>
      </c>
      <c r="C46" s="7">
        <v>0.82</v>
      </c>
      <c r="D46" s="7">
        <v>3.42</v>
      </c>
      <c r="E46" s="8">
        <v>6352</v>
      </c>
      <c r="F46" s="12">
        <f t="shared" si="0"/>
        <v>0.79356052242241559</v>
      </c>
      <c r="G46" s="12">
        <f t="shared" si="1"/>
        <v>2.6439477577584358E-2</v>
      </c>
      <c r="M46" s="5" t="s">
        <v>30</v>
      </c>
      <c r="N46">
        <f>SQRT(N42)</f>
        <v>7.9395981467384857E-2</v>
      </c>
      <c r="O46" t="s">
        <v>18</v>
      </c>
    </row>
    <row r="47" spans="2:39" x14ac:dyDescent="0.35">
      <c r="B47" s="11">
        <v>11</v>
      </c>
      <c r="C47" s="7">
        <v>0.75</v>
      </c>
      <c r="D47" s="7">
        <v>3.45</v>
      </c>
      <c r="E47" s="8">
        <v>6361</v>
      </c>
      <c r="F47" s="12">
        <f t="shared" si="0"/>
        <v>0.79843473311073176</v>
      </c>
      <c r="G47" s="12">
        <f t="shared" si="1"/>
        <v>-4.8434733110731765E-2</v>
      </c>
      <c r="M47" t="s">
        <v>31</v>
      </c>
      <c r="O47">
        <f>SQRT(O43)</f>
        <v>5.5559366412148141E-2</v>
      </c>
      <c r="P47" t="s">
        <v>19</v>
      </c>
    </row>
    <row r="48" spans="2:39" x14ac:dyDescent="0.35">
      <c r="B48" s="11">
        <v>12</v>
      </c>
      <c r="C48" s="7">
        <v>0.77</v>
      </c>
      <c r="D48" s="7">
        <v>3.58</v>
      </c>
      <c r="E48" s="8">
        <v>6369</v>
      </c>
      <c r="F48" s="12">
        <f t="shared" si="0"/>
        <v>0.82727777056758267</v>
      </c>
      <c r="G48" s="12">
        <f t="shared" si="1"/>
        <v>-5.7277770567582653E-2</v>
      </c>
      <c r="P48">
        <f>SQRT(P44)</f>
        <v>3.2048496181969991E-5</v>
      </c>
      <c r="Q48" t="s">
        <v>20</v>
      </c>
    </row>
    <row r="49" spans="2:20" x14ac:dyDescent="0.35">
      <c r="B49" s="11">
        <v>13</v>
      </c>
      <c r="C49" s="7">
        <v>0.78</v>
      </c>
      <c r="D49" s="7">
        <v>3.66</v>
      </c>
      <c r="E49" s="8">
        <v>6546</v>
      </c>
      <c r="F49" s="12">
        <f t="shared" si="0"/>
        <v>0.80216653526725556</v>
      </c>
      <c r="G49" s="12">
        <f t="shared" si="1"/>
        <v>-2.2166535267255538E-2</v>
      </c>
    </row>
    <row r="50" spans="2:20" x14ac:dyDescent="0.35">
      <c r="B50" s="11">
        <v>14</v>
      </c>
      <c r="C50" s="7">
        <v>0.84</v>
      </c>
      <c r="D50" s="7">
        <v>3.78</v>
      </c>
      <c r="E50" s="8">
        <v>6672</v>
      </c>
      <c r="F50" s="12">
        <f t="shared" si="0"/>
        <v>0.79924624245042097</v>
      </c>
      <c r="G50" s="12">
        <f t="shared" si="1"/>
        <v>4.0753757549578995E-2</v>
      </c>
    </row>
    <row r="51" spans="2:20" x14ac:dyDescent="0.35">
      <c r="B51" s="11">
        <v>15</v>
      </c>
      <c r="C51" s="7">
        <v>0.79</v>
      </c>
      <c r="D51" s="7">
        <v>3.82</v>
      </c>
      <c r="E51" s="8">
        <v>6890</v>
      </c>
      <c r="F51" s="12">
        <f t="shared" si="0"/>
        <v>0.75443485750772288</v>
      </c>
      <c r="G51" s="12">
        <f t="shared" si="1"/>
        <v>3.5565142492277158E-2</v>
      </c>
      <c r="M51" s="16" t="s">
        <v>40</v>
      </c>
      <c r="Q51" t="s">
        <v>41</v>
      </c>
      <c r="T51">
        <f>_xlfn.T.INV.2T(0.05,22)</f>
        <v>2.0738730679040258</v>
      </c>
    </row>
    <row r="52" spans="2:20" x14ac:dyDescent="0.35">
      <c r="B52" s="11">
        <v>16</v>
      </c>
      <c r="C52" s="7">
        <v>0.7</v>
      </c>
      <c r="D52" s="7">
        <v>3.97</v>
      </c>
      <c r="E52" s="8">
        <v>7115</v>
      </c>
      <c r="F52" s="12">
        <f t="shared" si="0"/>
        <v>0.73397163980910407</v>
      </c>
      <c r="G52" s="12">
        <f t="shared" si="1"/>
        <v>-3.3971639809104115E-2</v>
      </c>
      <c r="M52" s="14" t="s">
        <v>32</v>
      </c>
      <c r="N52" t="s">
        <v>39</v>
      </c>
    </row>
    <row r="53" spans="2:20" x14ac:dyDescent="0.35">
      <c r="B53" s="11">
        <v>17</v>
      </c>
      <c r="C53" s="7">
        <v>0.68</v>
      </c>
      <c r="D53" s="7">
        <v>4.07</v>
      </c>
      <c r="E53" s="8">
        <v>7327</v>
      </c>
      <c r="F53" s="12">
        <f t="shared" si="0"/>
        <v>0.70488657906173291</v>
      </c>
      <c r="G53" s="12">
        <f t="shared" si="1"/>
        <v>-2.4886579061732861E-2</v>
      </c>
    </row>
    <row r="54" spans="2:20" x14ac:dyDescent="0.35">
      <c r="B54" s="11">
        <v>18</v>
      </c>
      <c r="C54" s="7">
        <v>0.72</v>
      </c>
      <c r="D54" s="7">
        <v>4.25</v>
      </c>
      <c r="E54" s="8">
        <v>7546</v>
      </c>
      <c r="F54" s="12">
        <f t="shared" si="0"/>
        <v>0.69303376131311389</v>
      </c>
      <c r="G54" s="12">
        <f t="shared" si="1"/>
        <v>2.6966238686886079E-2</v>
      </c>
      <c r="M54" s="15" t="s">
        <v>33</v>
      </c>
      <c r="N54" s="15" t="s">
        <v>34</v>
      </c>
      <c r="O54" s="15" t="s">
        <v>35</v>
      </c>
      <c r="P54" s="15" t="s">
        <v>36</v>
      </c>
      <c r="Q54" s="15" t="s">
        <v>37</v>
      </c>
      <c r="R54" s="15" t="s">
        <v>38</v>
      </c>
    </row>
    <row r="55" spans="2:20" x14ac:dyDescent="0.35">
      <c r="B55" s="11">
        <v>19</v>
      </c>
      <c r="C55" s="7">
        <v>0.55000000000000004</v>
      </c>
      <c r="D55" s="7">
        <v>4.41</v>
      </c>
      <c r="E55" s="8">
        <v>7931</v>
      </c>
      <c r="F55" s="12">
        <f t="shared" si="0"/>
        <v>0.63508983290497989</v>
      </c>
      <c r="G55" s="12">
        <f t="shared" si="1"/>
        <v>-8.5089832904979845E-2</v>
      </c>
      <c r="M55" s="6">
        <f>N30</f>
        <v>1.5644967711360778</v>
      </c>
      <c r="N55" s="6">
        <f>N46</f>
        <v>7.9395981467384857E-2</v>
      </c>
      <c r="O55" s="6">
        <f>(M55-0)/(N55)</f>
        <v>19.70498685476618</v>
      </c>
      <c r="P55" s="6">
        <f>_xlfn.T.DIST.2T(ABS(O55),22)</f>
        <v>1.8173257707615429E-15</v>
      </c>
      <c r="Q55" s="6">
        <f>M55-$T$51*N55</f>
        <v>1.3998395834710611</v>
      </c>
      <c r="R55" s="6">
        <f>M55+$T$51*N55</f>
        <v>1.7291539588010945</v>
      </c>
      <c r="S55" t="str">
        <f>IF(P55&lt;0.05,"RECHAZAR HIPOTESIS NULA","SE ACEPTA LA HIPOTESIS NULA")</f>
        <v>RECHAZAR HIPOTESIS NULA</v>
      </c>
    </row>
    <row r="56" spans="2:20" x14ac:dyDescent="0.35">
      <c r="B56" s="11">
        <v>20</v>
      </c>
      <c r="C56" s="7">
        <v>0.63</v>
      </c>
      <c r="D56" s="7">
        <v>4.49</v>
      </c>
      <c r="E56" s="8">
        <v>8097</v>
      </c>
      <c r="F56" s="12">
        <f t="shared" si="0"/>
        <v>0.61271846972988708</v>
      </c>
      <c r="G56" s="12">
        <f t="shared" si="1"/>
        <v>1.7281530270112921E-2</v>
      </c>
      <c r="M56" s="6">
        <f>N31</f>
        <v>0.23719747484422271</v>
      </c>
      <c r="N56" s="6">
        <f>O47</f>
        <v>5.5559366412148141E-2</v>
      </c>
      <c r="O56" s="6">
        <f t="shared" ref="O56:O57" si="5">(M56-0)/(N56)</f>
        <v>4.2692616954026157</v>
      </c>
      <c r="P56" s="6">
        <f t="shared" ref="P56:P57" si="6">_xlfn.T.DIST.2T(ABS(O56),22)</f>
        <v>3.1256718362383031E-4</v>
      </c>
      <c r="Q56" s="6">
        <f t="shared" ref="Q56:Q57" si="7">M56-$T$51*N56</f>
        <v>0.12197440117225716</v>
      </c>
      <c r="R56" s="6">
        <f t="shared" ref="R56:R57" si="8">M56+$T$51*N56</f>
        <v>0.35242054851618826</v>
      </c>
      <c r="S56" t="str">
        <f t="shared" ref="S56:S57" si="9">IF(P56&lt;0.05,"RECHAZAR HIPOTESIS NULA","SE ACEPTA LA HIPOTESIS NULA")</f>
        <v>RECHAZAR HIPOTESIS NULA</v>
      </c>
    </row>
    <row r="57" spans="2:20" x14ac:dyDescent="0.35">
      <c r="B57" s="11">
        <v>21</v>
      </c>
      <c r="C57" s="7">
        <v>0.56000000000000005</v>
      </c>
      <c r="D57" s="7">
        <v>4.7</v>
      </c>
      <c r="E57" s="8">
        <v>8468</v>
      </c>
      <c r="F57" s="12">
        <f t="shared" si="0"/>
        <v>0.57012152504153502</v>
      </c>
      <c r="G57" s="12">
        <f t="shared" si="1"/>
        <v>-1.0121525041534962E-2</v>
      </c>
      <c r="M57" s="6">
        <f>N32</f>
        <v>-2.4907928411223301E-4</v>
      </c>
      <c r="N57" s="6">
        <f>P48</f>
        <v>3.2048496181969991E-5</v>
      </c>
      <c r="O57" s="6">
        <f t="shared" si="5"/>
        <v>-7.7719491953061226</v>
      </c>
      <c r="P57" s="6">
        <f t="shared" si="6"/>
        <v>9.508790794225126E-8</v>
      </c>
      <c r="Q57" s="6">
        <f t="shared" si="7"/>
        <v>-3.1554379721084557E-4</v>
      </c>
      <c r="R57" s="6">
        <f t="shared" si="8"/>
        <v>-1.8261477101362046E-4</v>
      </c>
      <c r="S57" t="str">
        <f t="shared" si="9"/>
        <v>RECHAZAR HIPOTESIS NULA</v>
      </c>
    </row>
    <row r="58" spans="2:20" x14ac:dyDescent="0.35">
      <c r="B58" s="11">
        <v>22</v>
      </c>
      <c r="C58" s="7">
        <v>0.41</v>
      </c>
      <c r="D58" s="7">
        <v>4.58</v>
      </c>
      <c r="E58" s="8">
        <v>8717</v>
      </c>
      <c r="F58" s="12">
        <f t="shared" si="0"/>
        <v>0.47963708631628243</v>
      </c>
      <c r="G58" s="12">
        <f t="shared" si="1"/>
        <v>-6.9637086316282459E-2</v>
      </c>
    </row>
    <row r="59" spans="2:20" x14ac:dyDescent="0.35">
      <c r="B59" s="11">
        <v>23</v>
      </c>
      <c r="C59" s="7">
        <v>0.51</v>
      </c>
      <c r="D59" s="7">
        <v>4.6900000000000004</v>
      </c>
      <c r="E59" s="8">
        <v>8991</v>
      </c>
      <c r="F59" s="12">
        <f t="shared" si="0"/>
        <v>0.43748108470239533</v>
      </c>
      <c r="G59" s="12">
        <f t="shared" si="1"/>
        <v>7.251891529760468E-2</v>
      </c>
    </row>
    <row r="60" spans="2:20" x14ac:dyDescent="0.35">
      <c r="B60" s="11">
        <v>24</v>
      </c>
      <c r="C60" s="7">
        <v>0.47</v>
      </c>
      <c r="D60" s="7">
        <v>4.71</v>
      </c>
      <c r="E60" s="8">
        <v>9179</v>
      </c>
      <c r="F60" s="12">
        <f t="shared" si="0"/>
        <v>0.39539812878617964</v>
      </c>
      <c r="G60" s="12">
        <f t="shared" si="1"/>
        <v>7.4601871213820337E-2</v>
      </c>
    </row>
    <row r="61" spans="2:20" x14ac:dyDescent="0.35">
      <c r="B61" s="11">
        <v>25</v>
      </c>
      <c r="C61" s="7">
        <v>0.32</v>
      </c>
      <c r="D61" s="7">
        <v>4.78</v>
      </c>
      <c r="E61" s="8">
        <v>9318</v>
      </c>
      <c r="F61" s="12">
        <f t="shared" si="0"/>
        <v>0.37737993153367499</v>
      </c>
      <c r="G61" s="12">
        <f t="shared" si="1"/>
        <v>-5.7379931533674988E-2</v>
      </c>
    </row>
    <row r="62" spans="2:20" x14ac:dyDescent="0.35">
      <c r="G62" s="13">
        <f>SUM(G37:G61)</f>
        <v>1.130984195185647E-12</v>
      </c>
    </row>
  </sheetData>
  <mergeCells count="1">
    <mergeCell ref="B2:F3"/>
  </mergeCells>
  <pageMargins left="0.19685039370078741" right="0.19685039370078741" top="0.19685039370078741" bottom="0.19685039370078741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30DC-67F8-4935-B795-BA3AD98E720B}">
  <dimension ref="A1:AF141"/>
  <sheetViews>
    <sheetView tabSelected="1" topLeftCell="D53" zoomScale="55" zoomScaleNormal="55" workbookViewId="0">
      <selection activeCell="T112" sqref="T112"/>
    </sheetView>
  </sheetViews>
  <sheetFormatPr defaultRowHeight="14.5" x14ac:dyDescent="0.35"/>
  <cols>
    <col min="4" max="4" width="9.7265625" bestFit="1" customWidth="1"/>
    <col min="8" max="8" width="15.08984375" bestFit="1" customWidth="1"/>
    <col min="9" max="9" width="20.08984375" customWidth="1"/>
    <col min="10" max="10" width="14.81640625" bestFit="1" customWidth="1"/>
    <col min="11" max="11" width="15.6328125" bestFit="1" customWidth="1"/>
    <col min="14" max="14" width="14.6328125" bestFit="1" customWidth="1"/>
    <col min="16" max="16" width="9.7265625" bestFit="1" customWidth="1"/>
    <col min="17" max="18" width="12.6328125" bestFit="1" customWidth="1"/>
    <col min="21" max="21" width="12.7265625" bestFit="1" customWidth="1"/>
    <col min="22" max="22" width="12" bestFit="1" customWidth="1"/>
  </cols>
  <sheetData>
    <row r="1" spans="1:21" ht="15" thickBot="1" x14ac:dyDescent="0.4">
      <c r="B1" t="s">
        <v>42</v>
      </c>
      <c r="C1" t="s">
        <v>6</v>
      </c>
      <c r="D1" t="s">
        <v>7</v>
      </c>
    </row>
    <row r="2" spans="1:21" ht="58.5" thickBot="1" x14ac:dyDescent="0.4">
      <c r="A2" s="1" t="s">
        <v>2</v>
      </c>
      <c r="B2" s="1" t="s">
        <v>3</v>
      </c>
      <c r="C2" s="1" t="s">
        <v>4</v>
      </c>
      <c r="D2" s="1" t="s">
        <v>5</v>
      </c>
      <c r="G2" s="5" t="s">
        <v>42</v>
      </c>
      <c r="H2" s="5" t="s">
        <v>6</v>
      </c>
      <c r="I2" s="5" t="s">
        <v>7</v>
      </c>
      <c r="L2" s="5" t="s">
        <v>44</v>
      </c>
      <c r="M2" s="5" t="s">
        <v>45</v>
      </c>
      <c r="N2" s="5" t="s">
        <v>48</v>
      </c>
      <c r="Q2" s="5" t="s">
        <v>46</v>
      </c>
      <c r="R2" s="5" t="s">
        <v>47</v>
      </c>
      <c r="U2" s="5" t="s">
        <v>49</v>
      </c>
    </row>
    <row r="3" spans="1:21" x14ac:dyDescent="0.35">
      <c r="A3" s="2">
        <v>1</v>
      </c>
      <c r="B3" s="3">
        <v>0.75</v>
      </c>
      <c r="C3" s="3">
        <v>3.92</v>
      </c>
      <c r="D3" s="4">
        <v>7298</v>
      </c>
      <c r="G3" s="13">
        <f>B3-$B$29</f>
        <v>7.5600000000000001E-2</v>
      </c>
      <c r="H3" s="13">
        <f>C3-$C$29</f>
        <v>6.6400000000000237E-2</v>
      </c>
      <c r="I3" s="13">
        <f>D3-$D$29</f>
        <v>54.680000000000291</v>
      </c>
      <c r="L3" s="13">
        <f>G3^2</f>
        <v>5.7153600000000001E-3</v>
      </c>
      <c r="M3" s="13">
        <f t="shared" ref="M3" si="0">H3^2</f>
        <v>4.4089600000000312E-3</v>
      </c>
      <c r="N3" s="13">
        <f>I3^2</f>
        <v>2989.9024000000318</v>
      </c>
      <c r="Q3">
        <f>H3*G3</f>
        <v>5.0198400000000176E-3</v>
      </c>
      <c r="R3">
        <f>I3*G3</f>
        <v>4.1338080000000224</v>
      </c>
      <c r="U3">
        <f>H3*I3</f>
        <v>3.6307520000000322</v>
      </c>
    </row>
    <row r="4" spans="1:21" x14ac:dyDescent="0.35">
      <c r="A4" s="2">
        <v>2</v>
      </c>
      <c r="B4" s="3">
        <v>0.71</v>
      </c>
      <c r="C4" s="3">
        <v>3.61</v>
      </c>
      <c r="D4" s="4">
        <v>6855</v>
      </c>
      <c r="G4" s="13">
        <f t="shared" ref="G4:G27" si="1">B4-$B$29</f>
        <v>3.5599999999999965E-2</v>
      </c>
      <c r="H4" s="13">
        <f t="shared" ref="H4:H27" si="2">C4-$C$29</f>
        <v>-0.24359999999999982</v>
      </c>
      <c r="I4" s="13">
        <f t="shared" ref="I4:I27" si="3">D4-$D$29</f>
        <v>-388.31999999999971</v>
      </c>
      <c r="L4" s="13">
        <f t="shared" ref="L4:L27" si="4">G4^2</f>
        <v>1.2673599999999975E-3</v>
      </c>
      <c r="M4" s="13">
        <f t="shared" ref="M4:M27" si="5">H4^2</f>
        <v>5.9340959999999908E-2</v>
      </c>
      <c r="N4" s="13">
        <f t="shared" ref="N4:N27" si="6">I4^2</f>
        <v>150792.42239999978</v>
      </c>
      <c r="Q4">
        <f t="shared" ref="Q4:Q27" si="7">H4*G4</f>
        <v>-8.6721599999999843E-3</v>
      </c>
      <c r="R4">
        <f t="shared" ref="R4:R27" si="8">I4*G4</f>
        <v>-13.824191999999975</v>
      </c>
      <c r="U4">
        <f t="shared" ref="U4:U27" si="9">H4*I4</f>
        <v>94.594751999999858</v>
      </c>
    </row>
    <row r="5" spans="1:21" x14ac:dyDescent="0.35">
      <c r="A5" s="2">
        <v>3</v>
      </c>
      <c r="B5" s="3">
        <v>0.66</v>
      </c>
      <c r="C5" s="3">
        <v>3.32</v>
      </c>
      <c r="D5" s="4">
        <v>6636</v>
      </c>
      <c r="G5" s="13">
        <f t="shared" si="1"/>
        <v>-1.4399999999999968E-2</v>
      </c>
      <c r="H5" s="13">
        <f t="shared" si="2"/>
        <v>-0.53359999999999985</v>
      </c>
      <c r="I5" s="13">
        <f t="shared" si="3"/>
        <v>-607.31999999999971</v>
      </c>
      <c r="L5" s="13">
        <f t="shared" si="4"/>
        <v>2.073599999999991E-4</v>
      </c>
      <c r="M5" s="13">
        <f t="shared" si="5"/>
        <v>0.28472895999999986</v>
      </c>
      <c r="N5" s="13">
        <f t="shared" si="6"/>
        <v>368837.58239999966</v>
      </c>
      <c r="Q5">
        <f t="shared" si="7"/>
        <v>7.6838399999999809E-3</v>
      </c>
      <c r="R5">
        <f t="shared" si="8"/>
        <v>8.7454079999999763</v>
      </c>
      <c r="U5">
        <f t="shared" si="9"/>
        <v>324.06595199999975</v>
      </c>
    </row>
    <row r="6" spans="1:21" x14ac:dyDescent="0.35">
      <c r="A6" s="2">
        <v>4</v>
      </c>
      <c r="B6" s="3">
        <v>0.61</v>
      </c>
      <c r="C6" s="3">
        <v>3.07</v>
      </c>
      <c r="D6" s="4">
        <v>6506</v>
      </c>
      <c r="G6" s="13">
        <f t="shared" si="1"/>
        <v>-6.4400000000000013E-2</v>
      </c>
      <c r="H6" s="13">
        <f t="shared" si="2"/>
        <v>-0.78359999999999985</v>
      </c>
      <c r="I6" s="13">
        <f t="shared" si="3"/>
        <v>-737.31999999999971</v>
      </c>
      <c r="L6" s="13">
        <f t="shared" si="4"/>
        <v>4.1473600000000018E-3</v>
      </c>
      <c r="M6" s="13">
        <f t="shared" si="5"/>
        <v>0.61402895999999973</v>
      </c>
      <c r="N6" s="13">
        <f t="shared" si="6"/>
        <v>543640.78239999956</v>
      </c>
      <c r="Q6">
        <f t="shared" si="7"/>
        <v>5.0463840000000003E-2</v>
      </c>
      <c r="R6">
        <f t="shared" si="8"/>
        <v>47.48340799999999</v>
      </c>
      <c r="U6">
        <f t="shared" si="9"/>
        <v>577.76395199999968</v>
      </c>
    </row>
    <row r="7" spans="1:21" x14ac:dyDescent="0.35">
      <c r="A7" s="2">
        <v>5</v>
      </c>
      <c r="B7" s="3">
        <v>0.7</v>
      </c>
      <c r="C7" s="3">
        <v>3.06</v>
      </c>
      <c r="D7" s="4">
        <v>6450</v>
      </c>
      <c r="G7" s="13">
        <f t="shared" si="1"/>
        <v>2.5599999999999956E-2</v>
      </c>
      <c r="H7" s="13">
        <f t="shared" si="2"/>
        <v>-0.79359999999999964</v>
      </c>
      <c r="I7" s="13">
        <f t="shared" si="3"/>
        <v>-793.31999999999971</v>
      </c>
      <c r="L7" s="13">
        <f t="shared" si="4"/>
        <v>6.5535999999999774E-4</v>
      </c>
      <c r="M7" s="13">
        <f t="shared" si="5"/>
        <v>0.62980095999999941</v>
      </c>
      <c r="N7" s="13">
        <f t="shared" si="6"/>
        <v>629356.62239999953</v>
      </c>
      <c r="Q7">
        <f t="shared" si="7"/>
        <v>-2.0316159999999955E-2</v>
      </c>
      <c r="R7">
        <f t="shared" si="8"/>
        <v>-20.308991999999957</v>
      </c>
      <c r="U7">
        <f t="shared" si="9"/>
        <v>629.57875199999944</v>
      </c>
    </row>
    <row r="8" spans="1:21" x14ac:dyDescent="0.35">
      <c r="A8" s="2">
        <v>6</v>
      </c>
      <c r="B8" s="3">
        <v>0.72</v>
      </c>
      <c r="C8" s="3">
        <v>3.11</v>
      </c>
      <c r="D8" s="4">
        <v>6402</v>
      </c>
      <c r="G8" s="13">
        <f t="shared" si="1"/>
        <v>4.5599999999999974E-2</v>
      </c>
      <c r="H8" s="13">
        <f t="shared" si="2"/>
        <v>-0.74359999999999982</v>
      </c>
      <c r="I8" s="13">
        <f t="shared" si="3"/>
        <v>-841.31999999999971</v>
      </c>
      <c r="L8" s="13">
        <f t="shared" si="4"/>
        <v>2.0793599999999975E-3</v>
      </c>
      <c r="M8" s="13">
        <f t="shared" si="5"/>
        <v>0.5529409599999997</v>
      </c>
      <c r="N8" s="13">
        <f t="shared" si="6"/>
        <v>707819.3423999995</v>
      </c>
      <c r="Q8">
        <f t="shared" si="7"/>
        <v>-3.3908159999999972E-2</v>
      </c>
      <c r="R8">
        <f t="shared" si="8"/>
        <v>-38.364191999999967</v>
      </c>
      <c r="U8">
        <f t="shared" si="9"/>
        <v>625.60555199999965</v>
      </c>
    </row>
    <row r="9" spans="1:21" x14ac:dyDescent="0.35">
      <c r="A9" s="2">
        <v>7</v>
      </c>
      <c r="B9" s="3">
        <v>0.77</v>
      </c>
      <c r="C9" s="3">
        <v>3.21</v>
      </c>
      <c r="D9" s="4">
        <v>6368</v>
      </c>
      <c r="G9" s="13">
        <f t="shared" si="1"/>
        <v>9.5600000000000018E-2</v>
      </c>
      <c r="H9" s="13">
        <f t="shared" si="2"/>
        <v>-0.64359999999999973</v>
      </c>
      <c r="I9" s="13">
        <f t="shared" si="3"/>
        <v>-875.31999999999971</v>
      </c>
      <c r="L9" s="13">
        <f t="shared" si="4"/>
        <v>9.1393600000000044E-3</v>
      </c>
      <c r="M9" s="13">
        <f t="shared" si="5"/>
        <v>0.41422095999999964</v>
      </c>
      <c r="N9" s="13">
        <f t="shared" si="6"/>
        <v>766185.10239999951</v>
      </c>
      <c r="Q9">
        <f t="shared" si="7"/>
        <v>-6.1528159999999985E-2</v>
      </c>
      <c r="R9">
        <f t="shared" si="8"/>
        <v>-83.68059199999999</v>
      </c>
      <c r="U9">
        <f t="shared" si="9"/>
        <v>563.35595199999955</v>
      </c>
    </row>
    <row r="10" spans="1:21" x14ac:dyDescent="0.35">
      <c r="A10" s="2">
        <v>8</v>
      </c>
      <c r="B10" s="3">
        <v>0.74</v>
      </c>
      <c r="C10" s="3">
        <v>3.26</v>
      </c>
      <c r="D10" s="4">
        <v>6340</v>
      </c>
      <c r="G10" s="13">
        <f t="shared" si="1"/>
        <v>6.5599999999999992E-2</v>
      </c>
      <c r="H10" s="13">
        <f t="shared" si="2"/>
        <v>-0.59359999999999991</v>
      </c>
      <c r="I10" s="13">
        <f t="shared" si="3"/>
        <v>-903.31999999999971</v>
      </c>
      <c r="L10" s="13">
        <f t="shared" si="4"/>
        <v>4.3033599999999991E-3</v>
      </c>
      <c r="M10" s="13">
        <f t="shared" si="5"/>
        <v>0.35236095999999989</v>
      </c>
      <c r="N10" s="13">
        <f t="shared" si="6"/>
        <v>815987.02239999943</v>
      </c>
      <c r="Q10">
        <f t="shared" si="7"/>
        <v>-3.8940159999999988E-2</v>
      </c>
      <c r="R10">
        <f t="shared" si="8"/>
        <v>-59.257791999999974</v>
      </c>
      <c r="U10">
        <f t="shared" si="9"/>
        <v>536.21075199999973</v>
      </c>
    </row>
    <row r="11" spans="1:21" x14ac:dyDescent="0.35">
      <c r="A11" s="2">
        <v>9</v>
      </c>
      <c r="B11" s="3">
        <v>0.9</v>
      </c>
      <c r="C11" s="3">
        <v>3.42</v>
      </c>
      <c r="D11" s="4">
        <v>6349</v>
      </c>
      <c r="G11" s="13">
        <f t="shared" si="1"/>
        <v>0.22560000000000002</v>
      </c>
      <c r="H11" s="13">
        <f t="shared" si="2"/>
        <v>-0.43359999999999976</v>
      </c>
      <c r="I11" s="13">
        <f t="shared" si="3"/>
        <v>-894.31999999999971</v>
      </c>
      <c r="L11" s="13">
        <f t="shared" si="4"/>
        <v>5.0895360000000008E-2</v>
      </c>
      <c r="M11" s="13">
        <f t="shared" si="5"/>
        <v>0.18800895999999981</v>
      </c>
      <c r="N11" s="13">
        <f t="shared" si="6"/>
        <v>799808.26239999942</v>
      </c>
      <c r="Q11">
        <f t="shared" si="7"/>
        <v>-9.7820159999999962E-2</v>
      </c>
      <c r="R11">
        <f t="shared" si="8"/>
        <v>-201.75859199999996</v>
      </c>
      <c r="U11">
        <f t="shared" si="9"/>
        <v>387.77715199999966</v>
      </c>
    </row>
    <row r="12" spans="1:21" x14ac:dyDescent="0.35">
      <c r="A12" s="2">
        <v>10</v>
      </c>
      <c r="B12" s="3">
        <v>0.82</v>
      </c>
      <c r="C12" s="3">
        <v>3.42</v>
      </c>
      <c r="D12" s="4">
        <v>6352</v>
      </c>
      <c r="G12" s="13">
        <f t="shared" si="1"/>
        <v>0.14559999999999995</v>
      </c>
      <c r="H12" s="13">
        <f t="shared" si="2"/>
        <v>-0.43359999999999976</v>
      </c>
      <c r="I12" s="13">
        <f t="shared" si="3"/>
        <v>-891.31999999999971</v>
      </c>
      <c r="L12" s="13">
        <f t="shared" si="4"/>
        <v>2.1199359999999987E-2</v>
      </c>
      <c r="M12" s="13">
        <f t="shared" si="5"/>
        <v>0.18800895999999981</v>
      </c>
      <c r="N12" s="13">
        <f t="shared" si="6"/>
        <v>794451.3423999995</v>
      </c>
      <c r="Q12">
        <f t="shared" si="7"/>
        <v>-6.3132159999999951E-2</v>
      </c>
      <c r="R12">
        <f t="shared" si="8"/>
        <v>-129.77619199999992</v>
      </c>
      <c r="U12">
        <f t="shared" si="9"/>
        <v>386.47635199999968</v>
      </c>
    </row>
    <row r="13" spans="1:21" x14ac:dyDescent="0.35">
      <c r="A13" s="2">
        <v>11</v>
      </c>
      <c r="B13" s="3">
        <v>0.75</v>
      </c>
      <c r="C13" s="3">
        <v>3.45</v>
      </c>
      <c r="D13" s="4">
        <v>6361</v>
      </c>
      <c r="G13" s="13">
        <f t="shared" si="1"/>
        <v>7.5600000000000001E-2</v>
      </c>
      <c r="H13" s="13">
        <f t="shared" si="2"/>
        <v>-0.40359999999999951</v>
      </c>
      <c r="I13" s="13">
        <f t="shared" si="3"/>
        <v>-882.31999999999971</v>
      </c>
      <c r="L13" s="13">
        <f t="shared" si="4"/>
        <v>5.7153600000000001E-3</v>
      </c>
      <c r="M13" s="13">
        <f t="shared" si="5"/>
        <v>0.16289295999999961</v>
      </c>
      <c r="N13" s="13">
        <f t="shared" si="6"/>
        <v>778488.58239999949</v>
      </c>
      <c r="Q13">
        <f t="shared" si="7"/>
        <v>-3.0512159999999962E-2</v>
      </c>
      <c r="R13">
        <f t="shared" si="8"/>
        <v>-66.70339199999998</v>
      </c>
      <c r="U13">
        <f t="shared" si="9"/>
        <v>356.10435199999944</v>
      </c>
    </row>
    <row r="14" spans="1:21" x14ac:dyDescent="0.35">
      <c r="A14" s="2">
        <v>12</v>
      </c>
      <c r="B14" s="3">
        <v>0.77</v>
      </c>
      <c r="C14" s="3">
        <v>3.58</v>
      </c>
      <c r="D14" s="4">
        <v>6369</v>
      </c>
      <c r="G14" s="13">
        <f t="shared" si="1"/>
        <v>9.5600000000000018E-2</v>
      </c>
      <c r="H14" s="13">
        <f t="shared" si="2"/>
        <v>-0.27359999999999962</v>
      </c>
      <c r="I14" s="13">
        <f t="shared" si="3"/>
        <v>-874.31999999999971</v>
      </c>
      <c r="L14" s="13">
        <f t="shared" si="4"/>
        <v>9.1393600000000044E-3</v>
      </c>
      <c r="M14" s="13">
        <f t="shared" si="5"/>
        <v>7.4856959999999792E-2</v>
      </c>
      <c r="N14" s="13">
        <f t="shared" si="6"/>
        <v>764435.46239999949</v>
      </c>
      <c r="Q14">
        <f t="shared" si="7"/>
        <v>-2.615615999999997E-2</v>
      </c>
      <c r="R14">
        <f t="shared" si="8"/>
        <v>-83.584991999999986</v>
      </c>
      <c r="U14">
        <f t="shared" si="9"/>
        <v>239.21395199999958</v>
      </c>
    </row>
    <row r="15" spans="1:21" x14ac:dyDescent="0.35">
      <c r="A15" s="2">
        <v>13</v>
      </c>
      <c r="B15" s="3">
        <v>0.78</v>
      </c>
      <c r="C15" s="3">
        <v>3.66</v>
      </c>
      <c r="D15" s="4">
        <v>6546</v>
      </c>
      <c r="G15" s="13">
        <f t="shared" si="1"/>
        <v>0.10560000000000003</v>
      </c>
      <c r="H15" s="13">
        <f t="shared" si="2"/>
        <v>-0.19359999999999955</v>
      </c>
      <c r="I15" s="13">
        <f t="shared" si="3"/>
        <v>-697.31999999999971</v>
      </c>
      <c r="L15" s="13">
        <f t="shared" si="4"/>
        <v>1.1151360000000006E-2</v>
      </c>
      <c r="M15" s="13">
        <f t="shared" si="5"/>
        <v>3.7480959999999827E-2</v>
      </c>
      <c r="N15" s="13">
        <f t="shared" si="6"/>
        <v>486255.18239999958</v>
      </c>
      <c r="Q15">
        <f t="shared" si="7"/>
        <v>-2.0444159999999958E-2</v>
      </c>
      <c r="R15">
        <f t="shared" si="8"/>
        <v>-73.636991999999992</v>
      </c>
      <c r="U15">
        <f t="shared" si="9"/>
        <v>135.00115199999962</v>
      </c>
    </row>
    <row r="16" spans="1:21" x14ac:dyDescent="0.35">
      <c r="A16" s="2">
        <v>14</v>
      </c>
      <c r="B16" s="3">
        <v>0.84</v>
      </c>
      <c r="C16" s="3">
        <v>3.78</v>
      </c>
      <c r="D16" s="4">
        <v>6672</v>
      </c>
      <c r="G16" s="13">
        <f t="shared" si="1"/>
        <v>0.16559999999999997</v>
      </c>
      <c r="H16" s="13">
        <f t="shared" si="2"/>
        <v>-7.3599999999999888E-2</v>
      </c>
      <c r="I16" s="13">
        <f t="shared" si="3"/>
        <v>-571.31999999999971</v>
      </c>
      <c r="L16" s="13">
        <f t="shared" si="4"/>
        <v>2.742335999999999E-2</v>
      </c>
      <c r="M16" s="13">
        <f t="shared" si="5"/>
        <v>5.4169599999999837E-3</v>
      </c>
      <c r="N16" s="13">
        <f t="shared" si="6"/>
        <v>326406.54239999969</v>
      </c>
      <c r="Q16">
        <f t="shared" si="7"/>
        <v>-1.2188159999999979E-2</v>
      </c>
      <c r="R16">
        <f t="shared" si="8"/>
        <v>-94.61059199999994</v>
      </c>
      <c r="U16">
        <f t="shared" si="9"/>
        <v>42.049151999999914</v>
      </c>
    </row>
    <row r="17" spans="1:21" x14ac:dyDescent="0.35">
      <c r="A17" s="2">
        <v>15</v>
      </c>
      <c r="B17" s="3">
        <v>0.79</v>
      </c>
      <c r="C17" s="3">
        <v>3.82</v>
      </c>
      <c r="D17" s="4">
        <v>6890</v>
      </c>
      <c r="G17" s="13">
        <f t="shared" si="1"/>
        <v>0.11560000000000004</v>
      </c>
      <c r="H17" s="13">
        <f t="shared" si="2"/>
        <v>-3.3599999999999852E-2</v>
      </c>
      <c r="I17" s="13">
        <f t="shared" si="3"/>
        <v>-353.31999999999971</v>
      </c>
      <c r="L17" s="13">
        <f t="shared" si="4"/>
        <v>1.3363360000000008E-2</v>
      </c>
      <c r="M17" s="13">
        <f t="shared" si="5"/>
        <v>1.1289599999999901E-3</v>
      </c>
      <c r="N17" s="13">
        <f t="shared" si="6"/>
        <v>124835.0223999998</v>
      </c>
      <c r="Q17">
        <f t="shared" si="7"/>
        <v>-3.8841599999999842E-3</v>
      </c>
      <c r="R17">
        <f t="shared" si="8"/>
        <v>-40.843791999999979</v>
      </c>
      <c r="U17">
        <f t="shared" si="9"/>
        <v>11.871551999999937</v>
      </c>
    </row>
    <row r="18" spans="1:21" x14ac:dyDescent="0.35">
      <c r="A18" s="2">
        <v>16</v>
      </c>
      <c r="B18" s="3">
        <v>0.7</v>
      </c>
      <c r="C18" s="3">
        <v>3.97</v>
      </c>
      <c r="D18" s="4">
        <v>7115</v>
      </c>
      <c r="G18" s="13">
        <f t="shared" si="1"/>
        <v>2.5599999999999956E-2</v>
      </c>
      <c r="H18" s="13">
        <f t="shared" si="2"/>
        <v>0.1164000000000005</v>
      </c>
      <c r="I18" s="13">
        <f t="shared" si="3"/>
        <v>-128.31999999999971</v>
      </c>
      <c r="L18" s="13">
        <f t="shared" si="4"/>
        <v>6.5535999999999774E-4</v>
      </c>
      <c r="M18" s="13">
        <f t="shared" si="5"/>
        <v>1.3548960000000117E-2</v>
      </c>
      <c r="N18" s="13">
        <f t="shared" si="6"/>
        <v>16466.022399999925</v>
      </c>
      <c r="Q18">
        <f t="shared" si="7"/>
        <v>2.9798400000000079E-3</v>
      </c>
      <c r="R18">
        <f t="shared" si="8"/>
        <v>-3.284991999999987</v>
      </c>
      <c r="U18">
        <f t="shared" si="9"/>
        <v>-14.936448000000031</v>
      </c>
    </row>
    <row r="19" spans="1:21" x14ac:dyDescent="0.35">
      <c r="A19" s="2">
        <v>17</v>
      </c>
      <c r="B19" s="3">
        <v>0.68</v>
      </c>
      <c r="C19" s="3">
        <v>4.07</v>
      </c>
      <c r="D19" s="4">
        <v>7327</v>
      </c>
      <c r="G19" s="13">
        <f t="shared" si="1"/>
        <v>5.6000000000000494E-3</v>
      </c>
      <c r="H19" s="13">
        <f t="shared" si="2"/>
        <v>0.21640000000000059</v>
      </c>
      <c r="I19" s="13">
        <f t="shared" si="3"/>
        <v>83.680000000000291</v>
      </c>
      <c r="L19" s="13">
        <f t="shared" si="4"/>
        <v>3.1360000000000554E-5</v>
      </c>
      <c r="M19" s="13">
        <f t="shared" si="5"/>
        <v>4.682896000000026E-2</v>
      </c>
      <c r="N19" s="13">
        <f t="shared" si="6"/>
        <v>7002.3424000000487</v>
      </c>
      <c r="Q19">
        <f t="shared" si="7"/>
        <v>1.2118400000000139E-3</v>
      </c>
      <c r="R19">
        <f t="shared" si="8"/>
        <v>0.46860800000000574</v>
      </c>
      <c r="U19">
        <f t="shared" si="9"/>
        <v>18.108352000000114</v>
      </c>
    </row>
    <row r="20" spans="1:21" x14ac:dyDescent="0.35">
      <c r="A20" s="2">
        <v>18</v>
      </c>
      <c r="B20" s="3">
        <v>0.72</v>
      </c>
      <c r="C20" s="3">
        <v>4.25</v>
      </c>
      <c r="D20" s="4">
        <v>7546</v>
      </c>
      <c r="G20" s="13">
        <f t="shared" si="1"/>
        <v>4.5599999999999974E-2</v>
      </c>
      <c r="H20" s="13">
        <f t="shared" si="2"/>
        <v>0.39640000000000031</v>
      </c>
      <c r="I20" s="13">
        <f t="shared" si="3"/>
        <v>302.68000000000029</v>
      </c>
      <c r="L20" s="13">
        <f t="shared" si="4"/>
        <v>2.0793599999999975E-3</v>
      </c>
      <c r="M20" s="13">
        <f t="shared" si="5"/>
        <v>0.15713296000000024</v>
      </c>
      <c r="N20" s="13">
        <f t="shared" si="6"/>
        <v>91615.18240000018</v>
      </c>
      <c r="Q20">
        <f t="shared" si="7"/>
        <v>1.8075840000000003E-2</v>
      </c>
      <c r="R20">
        <f t="shared" si="8"/>
        <v>13.802208000000006</v>
      </c>
      <c r="U20">
        <f t="shared" si="9"/>
        <v>119.9823520000002</v>
      </c>
    </row>
    <row r="21" spans="1:21" x14ac:dyDescent="0.35">
      <c r="A21" s="2">
        <v>19</v>
      </c>
      <c r="B21" s="3">
        <v>0.55000000000000004</v>
      </c>
      <c r="C21" s="3">
        <v>4.41</v>
      </c>
      <c r="D21" s="4">
        <v>7931</v>
      </c>
      <c r="G21" s="13">
        <f t="shared" si="1"/>
        <v>-0.12439999999999996</v>
      </c>
      <c r="H21" s="13">
        <f t="shared" si="2"/>
        <v>0.55640000000000045</v>
      </c>
      <c r="I21" s="13">
        <f t="shared" si="3"/>
        <v>687.68000000000029</v>
      </c>
      <c r="L21" s="13">
        <f t="shared" si="4"/>
        <v>1.5475359999999988E-2</v>
      </c>
      <c r="M21" s="13">
        <f t="shared" si="5"/>
        <v>0.30958096000000052</v>
      </c>
      <c r="N21" s="13">
        <f t="shared" si="6"/>
        <v>472903.78240000037</v>
      </c>
      <c r="Q21">
        <f t="shared" si="7"/>
        <v>-6.9216160000000027E-2</v>
      </c>
      <c r="R21">
        <f t="shared" si="8"/>
        <v>-85.547392000000002</v>
      </c>
      <c r="U21">
        <f t="shared" si="9"/>
        <v>382.62515200000047</v>
      </c>
    </row>
    <row r="22" spans="1:21" x14ac:dyDescent="0.35">
      <c r="A22" s="2">
        <v>20</v>
      </c>
      <c r="B22" s="3">
        <v>0.63</v>
      </c>
      <c r="C22" s="3">
        <v>4.49</v>
      </c>
      <c r="D22" s="4">
        <v>8097</v>
      </c>
      <c r="G22" s="13">
        <f t="shared" si="1"/>
        <v>-4.4399999999999995E-2</v>
      </c>
      <c r="H22" s="13">
        <f t="shared" si="2"/>
        <v>0.63640000000000052</v>
      </c>
      <c r="I22" s="13">
        <f t="shared" si="3"/>
        <v>853.68000000000029</v>
      </c>
      <c r="L22" s="13">
        <f t="shared" si="4"/>
        <v>1.9713599999999997E-3</v>
      </c>
      <c r="M22" s="13">
        <f t="shared" si="5"/>
        <v>0.40500496000000064</v>
      </c>
      <c r="N22" s="13">
        <f t="shared" si="6"/>
        <v>728769.5424000005</v>
      </c>
      <c r="Q22">
        <f t="shared" si="7"/>
        <v>-2.825616000000002E-2</v>
      </c>
      <c r="R22">
        <f t="shared" si="8"/>
        <v>-37.903392000000011</v>
      </c>
      <c r="U22">
        <f t="shared" si="9"/>
        <v>543.28195200000062</v>
      </c>
    </row>
    <row r="23" spans="1:21" x14ac:dyDescent="0.35">
      <c r="A23" s="2">
        <v>21</v>
      </c>
      <c r="B23" s="3">
        <v>0.56000000000000005</v>
      </c>
      <c r="C23" s="3">
        <v>4.7</v>
      </c>
      <c r="D23" s="4">
        <v>8468</v>
      </c>
      <c r="G23" s="13">
        <f t="shared" si="1"/>
        <v>-0.11439999999999995</v>
      </c>
      <c r="H23" s="13">
        <f t="shared" si="2"/>
        <v>0.84640000000000049</v>
      </c>
      <c r="I23" s="13">
        <f t="shared" si="3"/>
        <v>1224.6800000000003</v>
      </c>
      <c r="L23" s="13">
        <f t="shared" si="4"/>
        <v>1.3087359999999987E-2</v>
      </c>
      <c r="M23" s="13">
        <f t="shared" si="5"/>
        <v>0.71639296000000086</v>
      </c>
      <c r="N23" s="13">
        <f t="shared" si="6"/>
        <v>1499841.1024000007</v>
      </c>
      <c r="Q23">
        <f t="shared" si="7"/>
        <v>-9.682816000000001E-2</v>
      </c>
      <c r="R23">
        <f t="shared" si="8"/>
        <v>-140.10339199999996</v>
      </c>
      <c r="U23">
        <f t="shared" si="9"/>
        <v>1036.5691520000009</v>
      </c>
    </row>
    <row r="24" spans="1:21" x14ac:dyDescent="0.35">
      <c r="A24" s="2">
        <v>22</v>
      </c>
      <c r="B24" s="3">
        <v>0.41</v>
      </c>
      <c r="C24" s="3">
        <v>4.58</v>
      </c>
      <c r="D24" s="4">
        <v>8717</v>
      </c>
      <c r="G24" s="13">
        <f t="shared" si="1"/>
        <v>-0.26440000000000002</v>
      </c>
      <c r="H24" s="13">
        <f t="shared" si="2"/>
        <v>0.72640000000000038</v>
      </c>
      <c r="I24" s="13">
        <f t="shared" si="3"/>
        <v>1473.6800000000003</v>
      </c>
      <c r="L24" s="13">
        <f t="shared" si="4"/>
        <v>6.9907360000000016E-2</v>
      </c>
      <c r="M24" s="13">
        <f t="shared" si="5"/>
        <v>0.52765696000000051</v>
      </c>
      <c r="N24" s="13">
        <f t="shared" si="6"/>
        <v>2171732.7424000008</v>
      </c>
      <c r="Q24">
        <f t="shared" si="7"/>
        <v>-0.19206016000000012</v>
      </c>
      <c r="R24">
        <f t="shared" si="8"/>
        <v>-389.6409920000001</v>
      </c>
      <c r="U24">
        <f t="shared" si="9"/>
        <v>1070.4811520000007</v>
      </c>
    </row>
    <row r="25" spans="1:21" x14ac:dyDescent="0.35">
      <c r="A25" s="2">
        <v>23</v>
      </c>
      <c r="B25" s="3">
        <v>0.51</v>
      </c>
      <c r="C25" s="3">
        <v>4.6900000000000004</v>
      </c>
      <c r="D25" s="4">
        <v>8991</v>
      </c>
      <c r="G25" s="13">
        <f t="shared" si="1"/>
        <v>-0.16439999999999999</v>
      </c>
      <c r="H25" s="13">
        <f t="shared" si="2"/>
        <v>0.8364000000000007</v>
      </c>
      <c r="I25" s="13">
        <f t="shared" si="3"/>
        <v>1747.6800000000003</v>
      </c>
      <c r="L25" s="13">
        <f t="shared" si="4"/>
        <v>2.7027359999999997E-2</v>
      </c>
      <c r="M25" s="13">
        <f t="shared" si="5"/>
        <v>0.69956496000000112</v>
      </c>
      <c r="N25" s="13">
        <f t="shared" si="6"/>
        <v>3054385.3824000009</v>
      </c>
      <c r="Q25">
        <f t="shared" si="7"/>
        <v>-0.1375041600000001</v>
      </c>
      <c r="R25">
        <f t="shared" si="8"/>
        <v>-287.31859200000002</v>
      </c>
      <c r="U25">
        <f t="shared" si="9"/>
        <v>1461.7595520000016</v>
      </c>
    </row>
    <row r="26" spans="1:21" x14ac:dyDescent="0.35">
      <c r="A26" s="2">
        <v>24</v>
      </c>
      <c r="B26" s="3">
        <v>0.47</v>
      </c>
      <c r="C26" s="3">
        <v>4.71</v>
      </c>
      <c r="D26" s="4">
        <v>9179</v>
      </c>
      <c r="G26" s="13">
        <f t="shared" si="1"/>
        <v>-0.20440000000000003</v>
      </c>
      <c r="H26" s="13">
        <f t="shared" si="2"/>
        <v>0.85640000000000027</v>
      </c>
      <c r="I26" s="13">
        <f t="shared" si="3"/>
        <v>1935.6800000000003</v>
      </c>
      <c r="L26" s="13">
        <f t="shared" si="4"/>
        <v>4.1779360000000008E-2</v>
      </c>
      <c r="M26" s="13">
        <f t="shared" si="5"/>
        <v>0.73342096000000045</v>
      </c>
      <c r="N26" s="13">
        <f t="shared" si="6"/>
        <v>3746857.0624000011</v>
      </c>
      <c r="Q26">
        <f t="shared" si="7"/>
        <v>-0.17504816000000009</v>
      </c>
      <c r="R26">
        <f t="shared" si="8"/>
        <v>-395.6529920000001</v>
      </c>
      <c r="U26">
        <f t="shared" si="9"/>
        <v>1657.7163520000008</v>
      </c>
    </row>
    <row r="27" spans="1:21" x14ac:dyDescent="0.35">
      <c r="A27" s="2">
        <v>25</v>
      </c>
      <c r="B27" s="3">
        <v>0.32</v>
      </c>
      <c r="C27" s="3">
        <v>4.78</v>
      </c>
      <c r="D27" s="4">
        <v>9318</v>
      </c>
      <c r="G27" s="13">
        <f t="shared" si="1"/>
        <v>-0.35439999999999999</v>
      </c>
      <c r="H27" s="13">
        <f t="shared" si="2"/>
        <v>0.92640000000000056</v>
      </c>
      <c r="I27" s="13">
        <f t="shared" si="3"/>
        <v>2074.6800000000003</v>
      </c>
      <c r="L27" s="13">
        <f t="shared" si="4"/>
        <v>0.12559935999999999</v>
      </c>
      <c r="M27" s="13">
        <f t="shared" si="5"/>
        <v>0.85821696000000103</v>
      </c>
      <c r="N27" s="13">
        <f t="shared" si="6"/>
        <v>4304297.1024000011</v>
      </c>
      <c r="Q27">
        <f t="shared" si="7"/>
        <v>-0.32831616000000019</v>
      </c>
      <c r="R27">
        <f t="shared" si="8"/>
        <v>-735.26659200000006</v>
      </c>
      <c r="U27">
        <f t="shared" si="9"/>
        <v>1921.9835520000015</v>
      </c>
    </row>
    <row r="29" spans="1:21" x14ac:dyDescent="0.35">
      <c r="A29" t="s">
        <v>43</v>
      </c>
      <c r="B29" s="13">
        <f>AVERAGE(B3:B27)</f>
        <v>0.6744</v>
      </c>
      <c r="C29" s="13">
        <f t="shared" ref="C29:D29" si="10">AVERAGE(C3:C27)</f>
        <v>3.8535999999999997</v>
      </c>
      <c r="D29" s="13">
        <f t="shared" si="10"/>
        <v>7243.32</v>
      </c>
      <c r="F29" t="s">
        <v>50</v>
      </c>
      <c r="G29" s="13">
        <f>SUM(G3:G27)</f>
        <v>0</v>
      </c>
      <c r="H29" s="13">
        <f t="shared" ref="H29:U29" si="11">SUM(H3:H27)</f>
        <v>5.773159728050814E-15</v>
      </c>
      <c r="I29" s="13">
        <f t="shared" si="11"/>
        <v>7.2759576141834259E-12</v>
      </c>
      <c r="J29" s="13"/>
      <c r="K29" s="13"/>
      <c r="L29" s="13">
        <f t="shared" si="11"/>
        <v>0.46401599999999998</v>
      </c>
      <c r="M29" s="13">
        <f t="shared" si="11"/>
        <v>8.0369760000000028</v>
      </c>
      <c r="N29" s="13">
        <f t="shared" si="11"/>
        <v>24154159.440000001</v>
      </c>
      <c r="O29" s="13"/>
      <c r="P29" s="13"/>
      <c r="Q29" s="13">
        <f t="shared" si="11"/>
        <v>-1.3592960000000003</v>
      </c>
      <c r="R29" s="13">
        <f t="shared" si="11"/>
        <v>-2906.4351999999999</v>
      </c>
      <c r="S29" s="13"/>
      <c r="T29" s="13"/>
      <c r="U29" s="13">
        <f t="shared" si="11"/>
        <v>13110.871200000001</v>
      </c>
    </row>
    <row r="34" spans="8:16" x14ac:dyDescent="0.35">
      <c r="I34" s="13" t="s">
        <v>51</v>
      </c>
      <c r="J34" s="17">
        <f>Q29/(SQRT(L29)*SQRT(M29))</f>
        <v>-0.70388421367724996</v>
      </c>
      <c r="L34" t="s">
        <v>52</v>
      </c>
      <c r="M34" s="17">
        <f>R29/(SQRT(N29)*SQRT(L29))</f>
        <v>-0.86815686200454656</v>
      </c>
      <c r="O34" t="s">
        <v>53</v>
      </c>
      <c r="P34" s="17">
        <f>U29/(SQRT(M29)*SQRT(N29))</f>
        <v>0.9409991927454745</v>
      </c>
    </row>
    <row r="37" spans="8:16" x14ac:dyDescent="0.35">
      <c r="I37" s="18" t="s">
        <v>54</v>
      </c>
    </row>
    <row r="38" spans="8:16" x14ac:dyDescent="0.35">
      <c r="I38" t="s">
        <v>55</v>
      </c>
      <c r="J38" t="s">
        <v>6</v>
      </c>
      <c r="K38" t="s">
        <v>7</v>
      </c>
    </row>
    <row r="39" spans="8:16" x14ac:dyDescent="0.35">
      <c r="H39" t="s">
        <v>42</v>
      </c>
      <c r="I39" s="19">
        <v>1</v>
      </c>
      <c r="J39" s="6">
        <v>-0.70388421367724996</v>
      </c>
      <c r="K39" s="6">
        <v>-0.86815686200454656</v>
      </c>
    </row>
    <row r="40" spans="8:16" x14ac:dyDescent="0.35">
      <c r="H40" t="s">
        <v>6</v>
      </c>
      <c r="I40" s="6">
        <v>-0.70388421367724996</v>
      </c>
      <c r="J40" s="19">
        <v>1</v>
      </c>
      <c r="K40" s="6">
        <v>0.9409991927454745</v>
      </c>
    </row>
    <row r="41" spans="8:16" x14ac:dyDescent="0.35">
      <c r="H41" t="s">
        <v>7</v>
      </c>
      <c r="I41" s="6">
        <v>-0.86815686200454656</v>
      </c>
      <c r="J41" s="6">
        <v>0.9409991927454745</v>
      </c>
      <c r="K41" s="19">
        <v>1</v>
      </c>
    </row>
    <row r="48" spans="8:16" x14ac:dyDescent="0.35">
      <c r="J48" t="s">
        <v>56</v>
      </c>
      <c r="K48" s="6">
        <v>-0.70388421367724996</v>
      </c>
      <c r="M48" t="s">
        <v>59</v>
      </c>
      <c r="N48" t="e">
        <f>(K48-K49*K50)/((SQRT(1-K49^2)*SQRT(1-K50^2)))</f>
        <v>#VALUE!</v>
      </c>
    </row>
    <row r="49" spans="2:30" x14ac:dyDescent="0.35">
      <c r="J49" t="s">
        <v>57</v>
      </c>
      <c r="K49" s="6">
        <v>-0.86815686200454656</v>
      </c>
      <c r="M49" t="s">
        <v>60</v>
      </c>
      <c r="N49" t="e">
        <f>(K49-K48*K50)/(SQRT((1-K48^2)*(1-K50^2)))</f>
        <v>#VALUE!</v>
      </c>
    </row>
    <row r="50" spans="2:30" x14ac:dyDescent="0.35">
      <c r="J50" s="20" t="s">
        <v>58</v>
      </c>
      <c r="K50" s="21" t="s">
        <v>152</v>
      </c>
      <c r="L50" s="20"/>
      <c r="M50" s="20" t="s">
        <v>61</v>
      </c>
      <c r="N50" s="20" t="e">
        <f>(K50-K48*K49)/SQRT((1-K48^2)*(1-K49^2))</f>
        <v>#VALUE!</v>
      </c>
      <c r="O50" t="s">
        <v>65</v>
      </c>
    </row>
    <row r="59" spans="2:30" x14ac:dyDescent="0.35">
      <c r="B59" t="s">
        <v>55</v>
      </c>
      <c r="C59" t="s">
        <v>42</v>
      </c>
      <c r="E59" t="s">
        <v>62</v>
      </c>
      <c r="F59">
        <v>7.5600000000000001E-2</v>
      </c>
      <c r="G59">
        <v>3.5599999999999965E-2</v>
      </c>
      <c r="H59">
        <v>-1.4399999999999968E-2</v>
      </c>
      <c r="I59">
        <v>-6.4400000000000013E-2</v>
      </c>
      <c r="J59">
        <v>2.5599999999999956E-2</v>
      </c>
      <c r="K59">
        <v>4.5599999999999974E-2</v>
      </c>
      <c r="L59">
        <v>9.5600000000000018E-2</v>
      </c>
      <c r="M59">
        <v>6.5599999999999992E-2</v>
      </c>
      <c r="N59">
        <v>0.22560000000000002</v>
      </c>
      <c r="O59">
        <v>0.14559999999999995</v>
      </c>
      <c r="P59">
        <v>7.5600000000000001E-2</v>
      </c>
      <c r="Q59">
        <v>9.5600000000000018E-2</v>
      </c>
      <c r="R59">
        <v>0.10560000000000003</v>
      </c>
      <c r="S59">
        <v>0.16559999999999997</v>
      </c>
      <c r="T59">
        <v>0.11560000000000004</v>
      </c>
      <c r="U59">
        <v>2.5599999999999956E-2</v>
      </c>
      <c r="V59">
        <v>5.6000000000000494E-3</v>
      </c>
      <c r="W59">
        <v>4.5599999999999974E-2</v>
      </c>
      <c r="X59">
        <v>-0.12439999999999996</v>
      </c>
      <c r="Y59">
        <v>-4.4399999999999995E-2</v>
      </c>
      <c r="Z59">
        <v>-0.11439999999999995</v>
      </c>
      <c r="AA59">
        <v>-0.26440000000000002</v>
      </c>
      <c r="AB59">
        <v>-0.16439999999999999</v>
      </c>
      <c r="AC59">
        <v>-0.20440000000000003</v>
      </c>
      <c r="AD59">
        <v>-0.35439999999999999</v>
      </c>
    </row>
    <row r="60" spans="2:30" x14ac:dyDescent="0.35">
      <c r="B60" s="3">
        <v>0.75</v>
      </c>
      <c r="C60" s="13">
        <f>B60-$B$86</f>
        <v>7.5600000000000001E-2</v>
      </c>
    </row>
    <row r="61" spans="2:30" x14ac:dyDescent="0.35">
      <c r="B61" s="3">
        <v>0.71</v>
      </c>
      <c r="C61" s="13">
        <f t="shared" ref="C61:C84" si="12">B61-$B$86</f>
        <v>3.5599999999999965E-2</v>
      </c>
      <c r="E61" s="24" t="s">
        <v>63</v>
      </c>
      <c r="F61" s="16" cm="1">
        <f t="array" ref="F61">MMULT(F59:AD59,C60:C84)</f>
        <v>0.46401599999999998</v>
      </c>
      <c r="H61" s="24" t="s">
        <v>22</v>
      </c>
      <c r="I61">
        <v>6.2504779831263194E-2</v>
      </c>
    </row>
    <row r="62" spans="2:30" x14ac:dyDescent="0.35">
      <c r="B62" s="3">
        <v>0.66</v>
      </c>
      <c r="C62" s="13">
        <f t="shared" si="12"/>
        <v>-1.4399999999999968E-2</v>
      </c>
    </row>
    <row r="63" spans="2:30" x14ac:dyDescent="0.35">
      <c r="B63" s="3">
        <v>0.61</v>
      </c>
      <c r="C63" s="13">
        <f t="shared" si="12"/>
        <v>-6.4400000000000013E-2</v>
      </c>
      <c r="H63" s="24" t="s">
        <v>64</v>
      </c>
      <c r="I63">
        <f>1-I61/F61</f>
        <v>0.86529606774063139</v>
      </c>
    </row>
    <row r="64" spans="2:30" x14ac:dyDescent="0.35">
      <c r="B64" s="3">
        <v>0.7</v>
      </c>
      <c r="C64" s="13">
        <f t="shared" si="12"/>
        <v>2.5599999999999956E-2</v>
      </c>
      <c r="E64" t="s">
        <v>67</v>
      </c>
      <c r="F64">
        <f>COUNTA(B60:B84)</f>
        <v>25</v>
      </c>
    </row>
    <row r="65" spans="2:30" x14ac:dyDescent="0.35">
      <c r="B65" s="3">
        <v>0.72</v>
      </c>
      <c r="C65" s="13">
        <f t="shared" si="12"/>
        <v>4.5599999999999974E-2</v>
      </c>
      <c r="E65" t="s">
        <v>24</v>
      </c>
      <c r="F65">
        <v>3</v>
      </c>
    </row>
    <row r="66" spans="2:30" x14ac:dyDescent="0.35">
      <c r="B66" s="3">
        <v>0.77</v>
      </c>
      <c r="C66" s="13">
        <f t="shared" si="12"/>
        <v>9.5600000000000018E-2</v>
      </c>
    </row>
    <row r="67" spans="2:30" x14ac:dyDescent="0.35">
      <c r="B67" s="3">
        <v>0.74</v>
      </c>
      <c r="C67" s="13">
        <f t="shared" si="12"/>
        <v>6.5599999999999992E-2</v>
      </c>
    </row>
    <row r="68" spans="2:30" x14ac:dyDescent="0.35">
      <c r="B68" s="3">
        <v>0.9</v>
      </c>
      <c r="C68" s="13">
        <f t="shared" si="12"/>
        <v>0.22560000000000002</v>
      </c>
      <c r="H68" s="24" t="s">
        <v>66</v>
      </c>
      <c r="I68">
        <f>1-(I61/(F64-F65))/(F61/(F64-1))</f>
        <v>0.8530502557170524</v>
      </c>
    </row>
    <row r="69" spans="2:30" x14ac:dyDescent="0.35">
      <c r="B69" s="3">
        <v>0.82</v>
      </c>
      <c r="C69" s="13">
        <f t="shared" si="12"/>
        <v>0.14559999999999995</v>
      </c>
    </row>
    <row r="70" spans="2:30" x14ac:dyDescent="0.35">
      <c r="B70" s="3">
        <v>0.75</v>
      </c>
      <c r="C70" s="13">
        <f t="shared" si="12"/>
        <v>7.5600000000000001E-2</v>
      </c>
      <c r="W70">
        <v>2.2187404160787096</v>
      </c>
      <c r="X70">
        <v>8.4824257764210986E-2</v>
      </c>
      <c r="Y70">
        <v>-3.4592136973085196E-4</v>
      </c>
    </row>
    <row r="71" spans="2:30" x14ac:dyDescent="0.35">
      <c r="B71" s="3">
        <v>0.77</v>
      </c>
      <c r="C71" s="13">
        <f t="shared" si="12"/>
        <v>9.5600000000000018E-2</v>
      </c>
      <c r="W71">
        <v>8.4824257764178804E-2</v>
      </c>
      <c r="X71">
        <v>1.0864857135399166</v>
      </c>
      <c r="Y71">
        <v>-5.8974415095033785E-4</v>
      </c>
    </row>
    <row r="72" spans="2:30" x14ac:dyDescent="0.35">
      <c r="B72" s="3">
        <v>0.78</v>
      </c>
      <c r="C72" s="13">
        <f t="shared" si="12"/>
        <v>0.10560000000000003</v>
      </c>
      <c r="W72">
        <v>-3.4592136973083461E-4</v>
      </c>
      <c r="X72">
        <v>-5.897441509503423E-4</v>
      </c>
      <c r="Y72">
        <v>3.6151370225712431E-7</v>
      </c>
    </row>
    <row r="73" spans="2:30" x14ac:dyDescent="0.35">
      <c r="B73" s="3">
        <v>0.84</v>
      </c>
      <c r="C73" s="13">
        <f t="shared" si="12"/>
        <v>0.16559999999999997</v>
      </c>
    </row>
    <row r="74" spans="2:30" x14ac:dyDescent="0.35">
      <c r="B74" s="3">
        <v>0.79</v>
      </c>
      <c r="C74" s="13">
        <f t="shared" si="12"/>
        <v>0.11560000000000004</v>
      </c>
    </row>
    <row r="75" spans="2:30" x14ac:dyDescent="0.35">
      <c r="B75" s="3">
        <v>0.7</v>
      </c>
      <c r="C75" s="13">
        <f t="shared" si="12"/>
        <v>2.5599999999999956E-2</v>
      </c>
    </row>
    <row r="76" spans="2:30" x14ac:dyDescent="0.35">
      <c r="B76" s="3">
        <v>0.68</v>
      </c>
      <c r="C76" s="13">
        <f t="shared" si="12"/>
        <v>5.6000000000000494E-3</v>
      </c>
    </row>
    <row r="77" spans="2:30" x14ac:dyDescent="0.35">
      <c r="B77" s="3">
        <v>0.72</v>
      </c>
      <c r="C77" s="13">
        <f t="shared" si="12"/>
        <v>4.5599999999999974E-2</v>
      </c>
      <c r="AC77" t="s">
        <v>113</v>
      </c>
    </row>
    <row r="78" spans="2:30" x14ac:dyDescent="0.35">
      <c r="B78" s="3">
        <v>0.55000000000000004</v>
      </c>
      <c r="C78" s="13">
        <f t="shared" si="12"/>
        <v>-0.12439999999999996</v>
      </c>
    </row>
    <row r="79" spans="2:30" x14ac:dyDescent="0.35">
      <c r="B79" s="3">
        <v>0.63</v>
      </c>
      <c r="C79" s="13">
        <f t="shared" si="12"/>
        <v>-4.4399999999999995E-2</v>
      </c>
      <c r="V79" t="s">
        <v>110</v>
      </c>
      <c r="W79" cm="1">
        <f t="array" ref="W79:Y79">MMULT(AD99:AF99,W70:Y72)</f>
        <v>-0.65187373331974285</v>
      </c>
      <c r="X79">
        <v>-0.19396517991844853</v>
      </c>
      <c r="Y79">
        <v>1.9871246205517383E-4</v>
      </c>
      <c r="AC79" s="6" t="s">
        <v>37</v>
      </c>
      <c r="AD79" s="6" t="s">
        <v>114</v>
      </c>
    </row>
    <row r="80" spans="2:30" x14ac:dyDescent="0.35">
      <c r="B80" s="3">
        <v>0.56000000000000005</v>
      </c>
      <c r="C80" s="13">
        <f t="shared" si="12"/>
        <v>-0.11439999999999995</v>
      </c>
      <c r="AC80" s="6"/>
      <c r="AD80" s="6"/>
    </row>
    <row r="81" spans="1:32" x14ac:dyDescent="0.35">
      <c r="B81" s="3">
        <v>0.41</v>
      </c>
      <c r="C81" s="13">
        <f t="shared" si="12"/>
        <v>-0.26440000000000002</v>
      </c>
    </row>
    <row r="82" spans="1:32" x14ac:dyDescent="0.35">
      <c r="B82" s="3">
        <v>0.51</v>
      </c>
      <c r="C82" s="13">
        <f t="shared" si="12"/>
        <v>-0.16439999999999999</v>
      </c>
      <c r="V82" t="s">
        <v>111</v>
      </c>
      <c r="W82" cm="1">
        <f t="array" ref="W82">MMULT(W79:Y79,TRANSPOSE(AD99:AF99))</f>
        <v>0.28546527460401094</v>
      </c>
    </row>
    <row r="83" spans="1:32" x14ac:dyDescent="0.35">
      <c r="B83" s="3">
        <v>0.47</v>
      </c>
      <c r="C83" s="13">
        <f t="shared" si="12"/>
        <v>-0.20440000000000003</v>
      </c>
      <c r="Y83" t="s">
        <v>112</v>
      </c>
      <c r="Z83">
        <f>_xlfn.T.INV(0.975,22)</f>
        <v>2.0738730679040249</v>
      </c>
      <c r="AC83" t="s">
        <v>115</v>
      </c>
    </row>
    <row r="84" spans="1:32" x14ac:dyDescent="0.35">
      <c r="B84" s="3">
        <v>0.32</v>
      </c>
      <c r="C84" s="13">
        <f t="shared" si="12"/>
        <v>-0.35439999999999999</v>
      </c>
    </row>
    <row r="85" spans="1:32" x14ac:dyDescent="0.35">
      <c r="AC85" s="6" t="s">
        <v>37</v>
      </c>
      <c r="AD85" s="6" t="s">
        <v>114</v>
      </c>
    </row>
    <row r="86" spans="1:32" x14ac:dyDescent="0.35">
      <c r="A86" s="16" t="s">
        <v>43</v>
      </c>
      <c r="B86" s="13">
        <f>AVERAGE(B60:B84)</f>
        <v>0.6744</v>
      </c>
      <c r="AC86" s="6"/>
      <c r="AD86" s="6"/>
    </row>
    <row r="87" spans="1:32" x14ac:dyDescent="0.35">
      <c r="X87" t="s">
        <v>27</v>
      </c>
      <c r="Y87">
        <v>2.8411263559665087E-3</v>
      </c>
    </row>
    <row r="90" spans="1:32" ht="28.5" x14ac:dyDescent="0.65">
      <c r="B90" s="22" t="s">
        <v>68</v>
      </c>
      <c r="F90" t="s">
        <v>81</v>
      </c>
    </row>
    <row r="91" spans="1:32" ht="43.5" x14ac:dyDescent="0.35">
      <c r="Q91" s="23" t="s">
        <v>69</v>
      </c>
      <c r="R91" s="23" t="s">
        <v>70</v>
      </c>
      <c r="S91" s="23" t="s">
        <v>71</v>
      </c>
      <c r="T91" s="23" t="s">
        <v>72</v>
      </c>
      <c r="U91" s="23" t="s">
        <v>73</v>
      </c>
      <c r="V91" t="s">
        <v>80</v>
      </c>
    </row>
    <row r="92" spans="1:32" ht="29" x14ac:dyDescent="0.35">
      <c r="Q92" s="23" t="s">
        <v>77</v>
      </c>
      <c r="R92" s="6">
        <f>R103</f>
        <v>0.40151122016874213</v>
      </c>
      <c r="S92" s="6">
        <f>F65-1</f>
        <v>2</v>
      </c>
      <c r="T92" s="6">
        <f>R92/S92</f>
        <v>0.20075561008437107</v>
      </c>
      <c r="U92" s="6">
        <f>T92/T93</f>
        <v>70.660570820010932</v>
      </c>
      <c r="V92">
        <f>_xlfn.F.DIST.RT(U92,S92,S93)</f>
        <v>2.6496164507263899E-10</v>
      </c>
      <c r="W92" t="s">
        <v>82</v>
      </c>
    </row>
    <row r="93" spans="1:32" ht="26" x14ac:dyDescent="0.6">
      <c r="Q93" s="6" t="s">
        <v>78</v>
      </c>
      <c r="R93" s="6">
        <f>I61</f>
        <v>6.2504779831263194E-2</v>
      </c>
      <c r="S93" s="6">
        <f>F64-F65</f>
        <v>22</v>
      </c>
      <c r="T93" s="6">
        <f>R93/S93</f>
        <v>2.8411263559665087E-3</v>
      </c>
      <c r="U93" s="6"/>
      <c r="AD93" s="29" t="s">
        <v>105</v>
      </c>
    </row>
    <row r="94" spans="1:32" x14ac:dyDescent="0.35">
      <c r="Q94" s="6" t="s">
        <v>79</v>
      </c>
      <c r="R94" s="6">
        <f>R92+R93</f>
        <v>0.46401600000000531</v>
      </c>
      <c r="S94" s="6">
        <f>S93+S92</f>
        <v>24</v>
      </c>
      <c r="T94" s="6"/>
      <c r="U94" s="6"/>
      <c r="W94" s="16" t="s">
        <v>83</v>
      </c>
    </row>
    <row r="95" spans="1:32" x14ac:dyDescent="0.35">
      <c r="AD95" s="30" t="s">
        <v>18</v>
      </c>
      <c r="AE95" s="30" t="s">
        <v>19</v>
      </c>
      <c r="AF95" s="30" t="s">
        <v>20</v>
      </c>
    </row>
    <row r="96" spans="1:32" x14ac:dyDescent="0.35">
      <c r="AD96">
        <v>1.5644967711360778</v>
      </c>
      <c r="AE96">
        <v>0.23719747484422271</v>
      </c>
      <c r="AF96">
        <v>-2.4907928411223301E-4</v>
      </c>
    </row>
    <row r="97" spans="17:32" x14ac:dyDescent="0.35">
      <c r="Q97" s="24" t="s">
        <v>74</v>
      </c>
      <c r="R97">
        <v>1.5644967711360778</v>
      </c>
      <c r="S97">
        <v>0.23719747484422271</v>
      </c>
      <c r="T97">
        <v>-2.4907928411223301E-4</v>
      </c>
    </row>
    <row r="98" spans="17:32" x14ac:dyDescent="0.35">
      <c r="AB98" t="s">
        <v>109</v>
      </c>
      <c r="AD98" s="31" t="s">
        <v>106</v>
      </c>
      <c r="AE98" s="32" t="s">
        <v>107</v>
      </c>
      <c r="AF98" s="32" t="s">
        <v>108</v>
      </c>
    </row>
    <row r="99" spans="17:32" x14ac:dyDescent="0.35">
      <c r="Q99" s="24" t="s">
        <v>75</v>
      </c>
      <c r="R99" cm="1">
        <f t="array" ref="R99:R101">MMULT(Ejercicio!N5:AL7,'Continuacion 1'!C60:C84)</f>
        <v>-1.6653345369377348E-16</v>
      </c>
      <c r="AD99">
        <v>1</v>
      </c>
      <c r="AE99">
        <v>4.9000000000000004</v>
      </c>
      <c r="AF99">
        <v>9500</v>
      </c>
    </row>
    <row r="100" spans="17:32" x14ac:dyDescent="0.35">
      <c r="R100">
        <v>-1.3592960000000014</v>
      </c>
    </row>
    <row r="101" spans="17:32" x14ac:dyDescent="0.35">
      <c r="R101">
        <v>-2906.4352000000022</v>
      </c>
      <c r="AE101">
        <f>SUMPRODUCT(AD96:AF96,AD99:AF99)</f>
        <v>0.36051119880655547</v>
      </c>
    </row>
    <row r="103" spans="17:32" x14ac:dyDescent="0.35">
      <c r="Q103" s="24" t="s">
        <v>76</v>
      </c>
      <c r="R103" cm="1">
        <f t="array" ref="R103">MMULT(R97:T97,_xlfn.ANCHORARRAY(R99))</f>
        <v>0.40151122016874213</v>
      </c>
    </row>
    <row r="116" spans="2:12" x14ac:dyDescent="0.35">
      <c r="B116" s="24" t="s">
        <v>2</v>
      </c>
      <c r="C116" s="33" t="s">
        <v>120</v>
      </c>
      <c r="D116" s="24">
        <v>1</v>
      </c>
      <c r="E116" s="24" t="s">
        <v>4</v>
      </c>
      <c r="F116" s="24" t="s">
        <v>5</v>
      </c>
      <c r="G116" s="24" t="s">
        <v>17</v>
      </c>
      <c r="H116" s="24" t="s">
        <v>111</v>
      </c>
      <c r="I116" s="24" t="s">
        <v>116</v>
      </c>
      <c r="J116" s="24" t="s">
        <v>117</v>
      </c>
      <c r="K116" s="24" t="s">
        <v>118</v>
      </c>
      <c r="L116" s="24" t="s">
        <v>119</v>
      </c>
    </row>
    <row r="117" spans="2:12" x14ac:dyDescent="0.35">
      <c r="B117" s="2">
        <v>1</v>
      </c>
      <c r="C117" s="2">
        <v>0.75</v>
      </c>
      <c r="D117" s="2">
        <v>1</v>
      </c>
      <c r="E117" s="2">
        <v>3.92</v>
      </c>
      <c r="F117" s="2">
        <v>7298</v>
      </c>
      <c r="G117" s="2">
        <v>0.67653025707435455</v>
      </c>
      <c r="H117" cm="1">
        <f t="array" ref="H117">MMULT(MMULT(D117:F117,$W$70:$Y$72),TRANSPOSE(D117:F117))</f>
        <v>4.158873322647777E-2</v>
      </c>
      <c r="I117" cm="1">
        <f t="array" ref="I117">MMULT(D117:F117,TRANSPOSE($AD$96:$AF$96))-$Z$83*SQRT($Y$87)*SQRT(H117)</f>
        <v>0.6539870711818786</v>
      </c>
      <c r="J117" cm="1">
        <f t="array" ref="J117">MMULT(D117:F117,TRANSPOSE($AD$96:$AF$96))+$Z$83*SQRT($Y$87)*SQRT(H117)</f>
        <v>0.69907344296683049</v>
      </c>
      <c r="K117">
        <f>G117-$Z$83*SQRT($Y$87)*SQRT(H117)</f>
        <v>0.6539870711818786</v>
      </c>
      <c r="L117">
        <f>G117+$Z$83*SQRT($Y$87)*SQRT(H117)</f>
        <v>0.69907344296683049</v>
      </c>
    </row>
    <row r="118" spans="2:12" x14ac:dyDescent="0.35">
      <c r="B118" s="2">
        <v>2</v>
      </c>
      <c r="C118" s="2">
        <v>0.71</v>
      </c>
      <c r="D118" s="2">
        <v>1</v>
      </c>
      <c r="E118" s="2">
        <v>3.61</v>
      </c>
      <c r="F118" s="2">
        <v>6855</v>
      </c>
      <c r="G118" s="2">
        <v>0.71334116273436465</v>
      </c>
      <c r="H118" cm="1">
        <f t="array" ref="H118">MMULT(MMULT(D118:F118,$W$70:$Y$72),TRANSPOSE(D118:F118))</f>
        <v>4.741322875669185E-2</v>
      </c>
      <c r="I118" cm="1">
        <f t="array" ref="I118">MMULT(D118:F118,TRANSPOSE($AD$96:$AF$96))-$Z$83*SQRT($Y$87)*SQRT(H118)</f>
        <v>0.68927110058171992</v>
      </c>
      <c r="J118" cm="1">
        <f t="array" ref="J118">MMULT(D118:F118,TRANSPOSE($AD$96:$AF$96))+$Z$83*SQRT($Y$87)*SQRT(H118)</f>
        <v>0.73741122488700939</v>
      </c>
      <c r="K118">
        <f t="shared" ref="K118:K141" si="13">G118-$Z$83*SQRT($Y$87)*SQRT(H118)</f>
        <v>0.68927110058171992</v>
      </c>
      <c r="L118">
        <f t="shared" ref="L118:L141" si="14">G118+$Z$83*SQRT($Y$87)*SQRT(H118)</f>
        <v>0.73741122488700939</v>
      </c>
    </row>
    <row r="119" spans="2:12" x14ac:dyDescent="0.35">
      <c r="B119" s="2">
        <v>3</v>
      </c>
      <c r="C119" s="2">
        <v>0.66</v>
      </c>
      <c r="D119" s="2">
        <v>1</v>
      </c>
      <c r="E119" s="2">
        <v>3.32</v>
      </c>
      <c r="F119" s="2">
        <v>6636</v>
      </c>
      <c r="G119" s="2">
        <v>0.69910225825011874</v>
      </c>
      <c r="H119" cm="1">
        <f t="array" ref="H119">MMULT(MMULT(D119:F119,$W$70:$Y$72),TRANSPOSE(D119:F119))</f>
        <v>0.10046178778776449</v>
      </c>
      <c r="I119" cm="1">
        <f t="array" ref="I119">MMULT(D119:F119,TRANSPOSE($AD$96:$AF$96))-$Z$83*SQRT($Y$87)*SQRT(H119)</f>
        <v>0.66406517884390692</v>
      </c>
      <c r="J119" cm="1">
        <f t="array" ref="J119">MMULT(D119:F119,TRANSPOSE($AD$96:$AF$96))+$Z$83*SQRT($Y$87)*SQRT(H119)</f>
        <v>0.73413933765633055</v>
      </c>
      <c r="K119">
        <f t="shared" si="13"/>
        <v>0.66406517884390692</v>
      </c>
      <c r="L119">
        <f t="shared" si="14"/>
        <v>0.73413933765633055</v>
      </c>
    </row>
    <row r="120" spans="2:12" x14ac:dyDescent="0.35">
      <c r="B120" s="2">
        <v>4</v>
      </c>
      <c r="C120" s="2">
        <v>0.61</v>
      </c>
      <c r="D120" s="2">
        <v>1</v>
      </c>
      <c r="E120" s="2">
        <v>3.07</v>
      </c>
      <c r="F120" s="2">
        <v>6506</v>
      </c>
      <c r="G120" s="2">
        <v>0.67218319647365332</v>
      </c>
      <c r="H120" cm="1">
        <f t="array" ref="H120">MMULT(MMULT(D120:F120,$W$70:$Y$72),TRANSPOSE(D120:F120))</f>
        <v>0.22220146203924807</v>
      </c>
      <c r="I120" cm="1">
        <f t="array" ref="I120">MMULT(D120:F120,TRANSPOSE($AD$96:$AF$96))-$Z$83*SQRT($Y$87)*SQRT(H120)</f>
        <v>0.62007561667612443</v>
      </c>
      <c r="J120" cm="1">
        <f t="array" ref="J120">MMULT(D120:F120,TRANSPOSE($AD$96:$AF$96))+$Z$83*SQRT($Y$87)*SQRT(H120)</f>
        <v>0.72429077627118221</v>
      </c>
      <c r="K120">
        <f t="shared" si="13"/>
        <v>0.62007561667612443</v>
      </c>
      <c r="L120">
        <f t="shared" si="14"/>
        <v>0.72429077627118221</v>
      </c>
    </row>
    <row r="121" spans="2:12" x14ac:dyDescent="0.35">
      <c r="B121" s="2">
        <v>5</v>
      </c>
      <c r="C121" s="2">
        <v>0.7</v>
      </c>
      <c r="D121" s="2">
        <v>1</v>
      </c>
      <c r="E121" s="2">
        <v>3.06</v>
      </c>
      <c r="F121" s="2">
        <v>6450</v>
      </c>
      <c r="G121" s="2">
        <v>0.6837596616354964</v>
      </c>
      <c r="H121" cm="1">
        <f t="array" ref="H121">MMULT(MMULT(D121:F121,$W$70:$Y$72),TRANSPOSE(D121:F121))</f>
        <v>0.20921001490835822</v>
      </c>
      <c r="I121" cm="1">
        <f t="array" ref="I121">MMULT(D121:F121,TRANSPOSE($AD$96:$AF$96))-$Z$83*SQRT($Y$87)*SQRT(H121)</f>
        <v>0.63319830928329834</v>
      </c>
      <c r="J121" cm="1">
        <f t="array" ref="J121">MMULT(D121:F121,TRANSPOSE($AD$96:$AF$96))+$Z$83*SQRT($Y$87)*SQRT(H121)</f>
        <v>0.73432101398769445</v>
      </c>
      <c r="K121">
        <f t="shared" si="13"/>
        <v>0.63319830928329834</v>
      </c>
      <c r="L121">
        <f t="shared" si="14"/>
        <v>0.73432101398769445</v>
      </c>
    </row>
    <row r="122" spans="2:12" x14ac:dyDescent="0.35">
      <c r="B122" s="2">
        <v>6</v>
      </c>
      <c r="C122" s="2">
        <v>0.72</v>
      </c>
      <c r="D122" s="2">
        <v>1</v>
      </c>
      <c r="E122" s="2">
        <v>3.11</v>
      </c>
      <c r="F122" s="2">
        <v>6402</v>
      </c>
      <c r="G122" s="2">
        <v>0.70757534101509489</v>
      </c>
      <c r="H122" cm="1">
        <f t="array" ref="H122">MMULT(MMULT(D122:F122,$W$70:$Y$72),TRANSPOSE(D122:F122))</f>
        <v>0.15875441428315518</v>
      </c>
      <c r="I122" cm="1">
        <f t="array" ref="I122">MMULT(D122:F122,TRANSPOSE($AD$96:$AF$96))-$Z$83*SQRT($Y$87)*SQRT(H122)</f>
        <v>0.6635309762006093</v>
      </c>
      <c r="J122" cm="1">
        <f t="array" ref="J122">MMULT(D122:F122,TRANSPOSE($AD$96:$AF$96))+$Z$83*SQRT($Y$87)*SQRT(H122)</f>
        <v>0.75161970582958049</v>
      </c>
      <c r="K122">
        <f t="shared" si="13"/>
        <v>0.6635309762006093</v>
      </c>
      <c r="L122">
        <f t="shared" si="14"/>
        <v>0.75161970582958049</v>
      </c>
    </row>
    <row r="123" spans="2:12" x14ac:dyDescent="0.35">
      <c r="B123" s="2">
        <v>7</v>
      </c>
      <c r="C123" s="2">
        <v>0.77</v>
      </c>
      <c r="D123" s="2">
        <v>1</v>
      </c>
      <c r="E123" s="2">
        <v>3.21</v>
      </c>
      <c r="F123" s="2">
        <v>6368</v>
      </c>
      <c r="G123" s="2">
        <v>0.73976378415933297</v>
      </c>
      <c r="H123" cm="1">
        <f t="array" ref="H123">MMULT(MMULT(D123:F123,$W$70:$Y$72),TRANSPOSE(D123:F123))</f>
        <v>0.10255981308154549</v>
      </c>
      <c r="I123" cm="1">
        <f t="array" ref="I123">MMULT(D123:F123,TRANSPOSE($AD$96:$AF$96))-$Z$83*SQRT($Y$87)*SQRT(H123)</f>
        <v>0.70436274124556419</v>
      </c>
      <c r="J123" cm="1">
        <f t="array" ref="J123">MMULT(D123:F123,TRANSPOSE($AD$96:$AF$96))+$Z$83*SQRT($Y$87)*SQRT(H123)</f>
        <v>0.77516482707310175</v>
      </c>
      <c r="K123">
        <f t="shared" si="13"/>
        <v>0.70436274124556419</v>
      </c>
      <c r="L123">
        <f t="shared" si="14"/>
        <v>0.77516482707310175</v>
      </c>
    </row>
    <row r="124" spans="2:12" x14ac:dyDescent="0.35">
      <c r="B124" s="2">
        <v>8</v>
      </c>
      <c r="C124" s="2">
        <v>0.74</v>
      </c>
      <c r="D124" s="2">
        <v>1</v>
      </c>
      <c r="E124" s="2">
        <v>3.26</v>
      </c>
      <c r="F124" s="2">
        <v>6340</v>
      </c>
      <c r="G124" s="2">
        <v>0.75859787785668642</v>
      </c>
      <c r="H124" cm="1">
        <f t="array" ref="H124">MMULT(MMULT(D124:F124,$W$70:$Y$72),TRANSPOSE(D124:F124))</f>
        <v>8.5371329173436539E-2</v>
      </c>
      <c r="I124" cm="1">
        <f t="array" ref="I124">MMULT(D124:F124,TRANSPOSE($AD$96:$AF$96))-$Z$83*SQRT($Y$87)*SQRT(H124)</f>
        <v>0.7262992949807423</v>
      </c>
      <c r="J124" cm="1">
        <f t="array" ref="J124">MMULT(D124:F124,TRANSPOSE($AD$96:$AF$96))+$Z$83*SQRT($Y$87)*SQRT(H124)</f>
        <v>0.79089646073263054</v>
      </c>
      <c r="K124">
        <f t="shared" si="13"/>
        <v>0.7262992949807423</v>
      </c>
      <c r="L124">
        <f t="shared" si="14"/>
        <v>0.79089646073263054</v>
      </c>
    </row>
    <row r="125" spans="2:12" x14ac:dyDescent="0.35">
      <c r="B125" s="2">
        <v>9</v>
      </c>
      <c r="C125" s="2">
        <v>0.9</v>
      </c>
      <c r="D125" s="2">
        <v>1</v>
      </c>
      <c r="E125" s="2">
        <v>3.42</v>
      </c>
      <c r="F125" s="2">
        <v>6349</v>
      </c>
      <c r="G125" s="2">
        <v>0.79430776027475236</v>
      </c>
      <c r="H125" cm="1">
        <f t="array" ref="H125">MMULT(MMULT(D125:F125,$W$70:$Y$72),TRANSPOSE(D125:F125))</f>
        <v>7.6032080565195947E-2</v>
      </c>
      <c r="I125" cm="1">
        <f t="array" ref="I125">MMULT(D125:F125,TRANSPOSE($AD$96:$AF$96))-$Z$83*SQRT($Y$87)*SQRT(H125)</f>
        <v>0.7638269938038279</v>
      </c>
      <c r="J125" cm="1">
        <f t="array" ref="J125">MMULT(D125:F125,TRANSPOSE($AD$96:$AF$96))+$Z$83*SQRT($Y$87)*SQRT(H125)</f>
        <v>0.82478852674567682</v>
      </c>
      <c r="K125">
        <f t="shared" si="13"/>
        <v>0.7638269938038279</v>
      </c>
      <c r="L125">
        <f t="shared" si="14"/>
        <v>0.82478852674567682</v>
      </c>
    </row>
    <row r="126" spans="2:12" x14ac:dyDescent="0.35">
      <c r="B126" s="2">
        <v>10</v>
      </c>
      <c r="C126" s="2">
        <v>0.82</v>
      </c>
      <c r="D126" s="2">
        <v>1</v>
      </c>
      <c r="E126" s="2">
        <v>3.42</v>
      </c>
      <c r="F126" s="2">
        <v>6352</v>
      </c>
      <c r="G126" s="2">
        <v>0.79356052242241559</v>
      </c>
      <c r="H126" cm="1">
        <f t="array" ref="H126">MMULT(MMULT(D126:F126,$W$70:$Y$72),TRANSPOSE(D126:F126))</f>
        <v>7.5629758966411054E-2</v>
      </c>
      <c r="I126" cm="1">
        <f t="array" ref="I126">MMULT(D126:F126,TRANSPOSE($AD$96:$AF$96))-$Z$83*SQRT($Y$87)*SQRT(H126)</f>
        <v>0.76316050697193505</v>
      </c>
      <c r="J126" cm="1">
        <f t="array" ref="J126">MMULT(D126:F126,TRANSPOSE($AD$96:$AF$96))+$Z$83*SQRT($Y$87)*SQRT(H126)</f>
        <v>0.82396053787289614</v>
      </c>
      <c r="K126">
        <f t="shared" si="13"/>
        <v>0.76316050697193505</v>
      </c>
      <c r="L126">
        <f t="shared" si="14"/>
        <v>0.82396053787289614</v>
      </c>
    </row>
    <row r="127" spans="2:12" x14ac:dyDescent="0.35">
      <c r="B127" s="2">
        <v>11</v>
      </c>
      <c r="C127" s="2">
        <v>0.75</v>
      </c>
      <c r="D127" s="2">
        <v>1</v>
      </c>
      <c r="E127" s="2">
        <v>3.45</v>
      </c>
      <c r="F127" s="2">
        <v>6361</v>
      </c>
      <c r="G127" s="2">
        <v>0.79843473311073176</v>
      </c>
      <c r="H127" cm="1">
        <f t="array" ref="H127">MMULT(MMULT(D127:F127,$W$70:$Y$72),TRANSPOSE(D127:F127))</f>
        <v>7.8394246024631631E-2</v>
      </c>
      <c r="I127" cm="1">
        <f t="array" ref="I127">MMULT(D127:F127,TRANSPOSE($AD$96:$AF$96))-$Z$83*SQRT($Y$87)*SQRT(H127)</f>
        <v>0.7674840998005652</v>
      </c>
      <c r="J127" cm="1">
        <f t="array" ref="J127">MMULT(D127:F127,TRANSPOSE($AD$96:$AF$96))+$Z$83*SQRT($Y$87)*SQRT(H127)</f>
        <v>0.82938536642089833</v>
      </c>
      <c r="K127">
        <f t="shared" si="13"/>
        <v>0.7674840998005652</v>
      </c>
      <c r="L127">
        <f t="shared" si="14"/>
        <v>0.82938536642089833</v>
      </c>
    </row>
    <row r="128" spans="2:12" x14ac:dyDescent="0.35">
      <c r="B128" s="2">
        <v>12</v>
      </c>
      <c r="C128" s="2">
        <v>0.77</v>
      </c>
      <c r="D128" s="2">
        <v>1</v>
      </c>
      <c r="E128" s="2">
        <v>3.58</v>
      </c>
      <c r="F128" s="2">
        <v>6369</v>
      </c>
      <c r="G128" s="2">
        <v>0.82727777056758267</v>
      </c>
      <c r="H128" cm="1">
        <f t="array" ref="H128">MMULT(MMULT(D128:F128,$W$70:$Y$72),TRANSPOSE(D128:F128))</f>
        <v>0.11553485371246031</v>
      </c>
      <c r="I128" cm="1">
        <f t="array" ref="I128">MMULT(D128:F128,TRANSPOSE($AD$96:$AF$96))-$Z$83*SQRT($Y$87)*SQRT(H128)</f>
        <v>0.78970407125335007</v>
      </c>
      <c r="J128" cm="1">
        <f t="array" ref="J128">MMULT(D128:F128,TRANSPOSE($AD$96:$AF$96))+$Z$83*SQRT($Y$87)*SQRT(H128)</f>
        <v>0.86485146988181527</v>
      </c>
      <c r="K128">
        <f t="shared" si="13"/>
        <v>0.78970407125335007</v>
      </c>
      <c r="L128">
        <f t="shared" si="14"/>
        <v>0.86485146988181527</v>
      </c>
    </row>
    <row r="129" spans="2:12" x14ac:dyDescent="0.35">
      <c r="B129" s="2">
        <v>13</v>
      </c>
      <c r="C129" s="2">
        <v>0.78</v>
      </c>
      <c r="D129" s="2">
        <v>1</v>
      </c>
      <c r="E129" s="2">
        <v>3.66</v>
      </c>
      <c r="F129" s="2">
        <v>6546</v>
      </c>
      <c r="G129" s="2">
        <v>0.80216653526725556</v>
      </c>
      <c r="H129" cm="1">
        <f t="array" ref="H129">MMULT(MMULT(D129:F129,$W$70:$Y$72),TRANSPOSE(D129:F129))</f>
        <v>9.7278159273779585E-2</v>
      </c>
      <c r="I129" cm="1">
        <f t="array" ref="I129">MMULT(D129:F129,TRANSPOSE($AD$96:$AF$96))-$Z$83*SQRT($Y$87)*SQRT(H129)</f>
        <v>0.76768908677974468</v>
      </c>
      <c r="J129" cm="1">
        <f t="array" ref="J129">MMULT(D129:F129,TRANSPOSE($AD$96:$AF$96))+$Z$83*SQRT($Y$87)*SQRT(H129)</f>
        <v>0.83664398375476645</v>
      </c>
      <c r="K129">
        <f t="shared" si="13"/>
        <v>0.76768908677974468</v>
      </c>
      <c r="L129">
        <f t="shared" si="14"/>
        <v>0.83664398375476645</v>
      </c>
    </row>
    <row r="130" spans="2:12" x14ac:dyDescent="0.35">
      <c r="B130" s="2">
        <v>14</v>
      </c>
      <c r="C130" s="2">
        <v>0.84</v>
      </c>
      <c r="D130" s="2">
        <v>1</v>
      </c>
      <c r="E130" s="2">
        <v>3.78</v>
      </c>
      <c r="F130" s="2">
        <v>6672</v>
      </c>
      <c r="G130" s="2">
        <v>0.79924624245042097</v>
      </c>
      <c r="H130" cm="1">
        <f t="array" ref="H130">MMULT(MMULT(D130:F130,$W$70:$Y$72),TRANSPOSE(D130:F130))</f>
        <v>0.11428940434594392</v>
      </c>
      <c r="I130" cm="1">
        <f t="array" ref="I130">MMULT(D130:F130,TRANSPOSE($AD$96:$AF$96))-$Z$83*SQRT($Y$87)*SQRT(H130)</f>
        <v>0.76187561146060168</v>
      </c>
      <c r="J130" cm="1">
        <f t="array" ref="J130">MMULT(D130:F130,TRANSPOSE($AD$96:$AF$96))+$Z$83*SQRT($Y$87)*SQRT(H130)</f>
        <v>0.83661687344024027</v>
      </c>
      <c r="K130">
        <f t="shared" si="13"/>
        <v>0.76187561146060168</v>
      </c>
      <c r="L130">
        <f t="shared" si="14"/>
        <v>0.83661687344024027</v>
      </c>
    </row>
    <row r="131" spans="2:12" x14ac:dyDescent="0.35">
      <c r="B131" s="2">
        <v>15</v>
      </c>
      <c r="C131" s="2">
        <v>0.79</v>
      </c>
      <c r="D131" s="2">
        <v>1</v>
      </c>
      <c r="E131" s="2">
        <v>3.82</v>
      </c>
      <c r="F131" s="2">
        <v>6890</v>
      </c>
      <c r="G131" s="2">
        <v>0.75443485750772288</v>
      </c>
      <c r="H131" cm="1">
        <f t="array" ref="H131">MMULT(MMULT(D131:F131,$W$70:$Y$72),TRANSPOSE(D131:F131))</f>
        <v>7.2353813320930715E-2</v>
      </c>
      <c r="I131" cm="1">
        <f t="array" ref="I131">MMULT(D131:F131,TRANSPOSE($AD$96:$AF$96))-$Z$83*SQRT($Y$87)*SQRT(H131)</f>
        <v>0.72470052739404311</v>
      </c>
      <c r="J131" cm="1">
        <f t="array" ref="J131">MMULT(D131:F131,TRANSPOSE($AD$96:$AF$96))+$Z$83*SQRT($Y$87)*SQRT(H131)</f>
        <v>0.78416918762140264</v>
      </c>
      <c r="K131">
        <f t="shared" si="13"/>
        <v>0.72470052739404311</v>
      </c>
      <c r="L131">
        <f t="shared" si="14"/>
        <v>0.78416918762140264</v>
      </c>
    </row>
    <row r="132" spans="2:12" x14ac:dyDescent="0.35">
      <c r="B132" s="2">
        <v>16</v>
      </c>
      <c r="C132" s="2">
        <v>0.7</v>
      </c>
      <c r="D132" s="2">
        <v>1</v>
      </c>
      <c r="E132" s="2">
        <v>3.97</v>
      </c>
      <c r="F132" s="2">
        <v>7115</v>
      </c>
      <c r="G132" s="2">
        <v>0.73397163980910407</v>
      </c>
      <c r="H132" cm="1">
        <f t="array" ref="H132">MMULT(MMULT(D132:F132,$W$70:$Y$72),TRANSPOSE(D132:F132))</f>
        <v>7.8290809880544932E-2</v>
      </c>
      <c r="I132" cm="1">
        <f t="array" ref="I132">MMULT(D132:F132,TRANSPOSE($AD$96:$AF$96))-$Z$83*SQRT($Y$87)*SQRT(H132)</f>
        <v>0.70304143191943136</v>
      </c>
      <c r="J132" cm="1">
        <f t="array" ref="J132">MMULT(D132:F132,TRANSPOSE($AD$96:$AF$96))+$Z$83*SQRT($Y$87)*SQRT(H132)</f>
        <v>0.76490184769877678</v>
      </c>
      <c r="K132">
        <f t="shared" si="13"/>
        <v>0.70304143191943136</v>
      </c>
      <c r="L132">
        <f t="shared" si="14"/>
        <v>0.76490184769877678</v>
      </c>
    </row>
    <row r="133" spans="2:12" x14ac:dyDescent="0.35">
      <c r="B133" s="2">
        <v>17</v>
      </c>
      <c r="C133" s="2">
        <v>0.68</v>
      </c>
      <c r="D133" s="2">
        <v>1</v>
      </c>
      <c r="E133" s="2">
        <v>4.07</v>
      </c>
      <c r="F133" s="2">
        <v>7327</v>
      </c>
      <c r="G133" s="2">
        <v>0.70488657906173291</v>
      </c>
      <c r="H133" cm="1">
        <f t="array" ref="H133">MMULT(MMULT(D133:F133,$W$70:$Y$72),TRANSPOSE(D133:F133))</f>
        <v>7.2051849394726974E-2</v>
      </c>
      <c r="I133" cm="1">
        <f t="array" ref="I133">MMULT(D133:F133,TRANSPOSE($AD$96:$AF$96))-$Z$83*SQRT($Y$87)*SQRT(H133)</f>
        <v>0.67521436096572618</v>
      </c>
      <c r="J133" cm="1">
        <f t="array" ref="J133">MMULT(D133:F133,TRANSPOSE($AD$96:$AF$96))+$Z$83*SQRT($Y$87)*SQRT(H133)</f>
        <v>0.73455879715773964</v>
      </c>
      <c r="K133">
        <f t="shared" si="13"/>
        <v>0.67521436096572618</v>
      </c>
      <c r="L133">
        <f t="shared" si="14"/>
        <v>0.73455879715773964</v>
      </c>
    </row>
    <row r="134" spans="2:12" x14ac:dyDescent="0.35">
      <c r="B134" s="2">
        <v>18</v>
      </c>
      <c r="C134" s="2">
        <v>0.72</v>
      </c>
      <c r="D134" s="2">
        <v>1</v>
      </c>
      <c r="E134" s="2">
        <v>4.25</v>
      </c>
      <c r="F134" s="2">
        <v>7546</v>
      </c>
      <c r="G134" s="2">
        <v>0.69303376131311389</v>
      </c>
      <c r="H134" cm="1">
        <f t="array" ref="H134">MMULT(MMULT(D134:F134,$W$70:$Y$72),TRANSPOSE(D134:F134))</f>
        <v>0.10232507932009183</v>
      </c>
      <c r="I134" cm="1">
        <f t="array" ref="I134">MMULT(D134:F134,TRANSPOSE($AD$96:$AF$96))-$Z$83*SQRT($Y$87)*SQRT(H134)</f>
        <v>0.65767325367303875</v>
      </c>
      <c r="J134" cm="1">
        <f t="array" ref="J134">MMULT(D134:F134,TRANSPOSE($AD$96:$AF$96))+$Z$83*SQRT($Y$87)*SQRT(H134)</f>
        <v>0.72839426895318904</v>
      </c>
      <c r="K134">
        <f t="shared" si="13"/>
        <v>0.65767325367303875</v>
      </c>
      <c r="L134">
        <f t="shared" si="14"/>
        <v>0.72839426895318904</v>
      </c>
    </row>
    <row r="135" spans="2:12" x14ac:dyDescent="0.35">
      <c r="B135" s="2">
        <v>19</v>
      </c>
      <c r="C135" s="2">
        <v>0.55000000000000004</v>
      </c>
      <c r="D135" s="2">
        <v>1</v>
      </c>
      <c r="E135" s="2">
        <v>4.41</v>
      </c>
      <c r="F135" s="2">
        <v>7931</v>
      </c>
      <c r="G135" s="2">
        <v>0.63508983290497989</v>
      </c>
      <c r="H135" cm="1">
        <f t="array" ref="H135">MMULT(MMULT(D135:F135,$W$70:$Y$72),TRANSPOSE(D135:F135))</f>
        <v>9.6014596613825942E-2</v>
      </c>
      <c r="I135" cm="1">
        <f t="array" ref="I135">MMULT(D135:F135,TRANSPOSE($AD$96:$AF$96))-$Z$83*SQRT($Y$87)*SQRT(H135)</f>
        <v>0.60083703304134373</v>
      </c>
      <c r="J135" cm="1">
        <f t="array" ref="J135">MMULT(D135:F135,TRANSPOSE($AD$96:$AF$96))+$Z$83*SQRT($Y$87)*SQRT(H135)</f>
        <v>0.66934263276861605</v>
      </c>
      <c r="K135">
        <f t="shared" si="13"/>
        <v>0.60083703304134373</v>
      </c>
      <c r="L135">
        <f t="shared" si="14"/>
        <v>0.66934263276861605</v>
      </c>
    </row>
    <row r="136" spans="2:12" x14ac:dyDescent="0.35">
      <c r="B136" s="2">
        <v>20</v>
      </c>
      <c r="C136" s="2">
        <v>0.63</v>
      </c>
      <c r="D136" s="2">
        <v>1</v>
      </c>
      <c r="E136" s="2">
        <v>4.49</v>
      </c>
      <c r="F136" s="2">
        <v>8097</v>
      </c>
      <c r="G136" s="2">
        <v>0.61271846972988708</v>
      </c>
      <c r="H136" cm="1">
        <f t="array" ref="H136">MMULT(MMULT(D136:F136,$W$70:$Y$72),TRANSPOSE(D136:F136))</f>
        <v>0.102697571300296</v>
      </c>
      <c r="I136" cm="1">
        <f t="array" ref="I136">MMULT(D136:F136,TRANSPOSE($AD$96:$AF$96))-$Z$83*SQRT($Y$87)*SQRT(H136)</f>
        <v>0.57729365947517197</v>
      </c>
      <c r="J136" cm="1">
        <f t="array" ref="J136">MMULT(D136:F136,TRANSPOSE($AD$96:$AF$96))+$Z$83*SQRT($Y$87)*SQRT(H136)</f>
        <v>0.64814327998460219</v>
      </c>
      <c r="K136">
        <f t="shared" si="13"/>
        <v>0.57729365947517197</v>
      </c>
      <c r="L136">
        <f t="shared" si="14"/>
        <v>0.64814327998460219</v>
      </c>
    </row>
    <row r="137" spans="2:12" x14ac:dyDescent="0.35">
      <c r="B137" s="2">
        <v>21</v>
      </c>
      <c r="C137" s="2">
        <v>0.56000000000000005</v>
      </c>
      <c r="D137" s="2">
        <v>1</v>
      </c>
      <c r="E137" s="2">
        <v>4.7</v>
      </c>
      <c r="F137" s="2">
        <v>8468</v>
      </c>
      <c r="G137" s="2">
        <v>0.57012152504153502</v>
      </c>
      <c r="H137" cm="1">
        <f t="array" ref="H137">MMULT(MMULT(D137:F137,$W$70:$Y$72),TRANSPOSE(D137:F137))</f>
        <v>0.13794263715149857</v>
      </c>
      <c r="I137" cm="1">
        <f t="array" ref="I137">MMULT(D137:F137,TRANSPOSE($AD$96:$AF$96))-$Z$83*SQRT($Y$87)*SQRT(H137)</f>
        <v>0.52906551807207003</v>
      </c>
      <c r="J137" cm="1">
        <f t="array" ref="J137">MMULT(D137:F137,TRANSPOSE($AD$96:$AF$96))+$Z$83*SQRT($Y$87)*SQRT(H137)</f>
        <v>0.611177532011</v>
      </c>
      <c r="K137">
        <f t="shared" si="13"/>
        <v>0.52906551807207003</v>
      </c>
      <c r="L137">
        <f t="shared" si="14"/>
        <v>0.611177532011</v>
      </c>
    </row>
    <row r="138" spans="2:12" x14ac:dyDescent="0.35">
      <c r="B138" s="2">
        <v>22</v>
      </c>
      <c r="C138" s="2">
        <v>0.41</v>
      </c>
      <c r="D138" s="2">
        <v>1</v>
      </c>
      <c r="E138" s="2">
        <v>4.58</v>
      </c>
      <c r="F138" s="2">
        <v>8717</v>
      </c>
      <c r="G138" s="2">
        <v>0.47963708631628243</v>
      </c>
      <c r="H138" cm="1">
        <f t="array" ref="H138">MMULT(MMULT(D138:F138,$W$70:$Y$72),TRANSPOSE(D138:F138))</f>
        <v>0.13578289651877884</v>
      </c>
      <c r="I138" cm="1">
        <f t="array" ref="I138">MMULT(D138:F138,TRANSPOSE($AD$96:$AF$96))-$Z$83*SQRT($Y$87)*SQRT(H138)</f>
        <v>0.43890375022533751</v>
      </c>
      <c r="J138" cm="1">
        <f t="array" ref="J138">MMULT(D138:F138,TRANSPOSE($AD$96:$AF$96))+$Z$83*SQRT($Y$87)*SQRT(H138)</f>
        <v>0.52037042240722742</v>
      </c>
      <c r="K138">
        <f t="shared" si="13"/>
        <v>0.43890375022533751</v>
      </c>
      <c r="L138">
        <f t="shared" si="14"/>
        <v>0.52037042240722742</v>
      </c>
    </row>
    <row r="139" spans="2:12" x14ac:dyDescent="0.35">
      <c r="B139" s="2">
        <v>23</v>
      </c>
      <c r="C139" s="2">
        <v>0.51</v>
      </c>
      <c r="D139" s="2">
        <v>1</v>
      </c>
      <c r="E139" s="2">
        <v>4.6900000000000004</v>
      </c>
      <c r="F139" s="2">
        <v>8991</v>
      </c>
      <c r="G139" s="2">
        <v>0.43748108470239533</v>
      </c>
      <c r="H139" cm="1">
        <f t="array" ref="H139">MMULT(MMULT(D139:F139,$W$70:$Y$72),TRANSPOSE(D139:F139))</f>
        <v>0.18014121066900923</v>
      </c>
      <c r="I139" cm="1">
        <f t="array" ref="I139">MMULT(D139:F139,TRANSPOSE($AD$96:$AF$96))-$Z$83*SQRT($Y$87)*SQRT(H139)</f>
        <v>0.39056367954300725</v>
      </c>
      <c r="J139" cm="1">
        <f t="array" ref="J139">MMULT(D139:F139,TRANSPOSE($AD$96:$AF$96))+$Z$83*SQRT($Y$87)*SQRT(H139)</f>
        <v>0.48439848986178341</v>
      </c>
      <c r="K139">
        <f t="shared" si="13"/>
        <v>0.39056367954300725</v>
      </c>
      <c r="L139">
        <f t="shared" si="14"/>
        <v>0.48439848986178341</v>
      </c>
    </row>
    <row r="140" spans="2:12" x14ac:dyDescent="0.35">
      <c r="B140" s="2">
        <v>24</v>
      </c>
      <c r="C140" s="2">
        <v>0.47</v>
      </c>
      <c r="D140" s="2">
        <v>1</v>
      </c>
      <c r="E140" s="2">
        <v>4.71</v>
      </c>
      <c r="F140" s="2">
        <v>9179</v>
      </c>
      <c r="G140" s="2">
        <v>0.39539812878617964</v>
      </c>
      <c r="H140" cm="1">
        <f t="array" ref="H140">MMULT(MMULT(D140:F140,$W$70:$Y$72),TRANSPOSE(D140:F140))</f>
        <v>0.23613451845374245</v>
      </c>
      <c r="I140" cm="1">
        <f t="array" ref="I140">MMULT(D140:F140,TRANSPOSE($AD$96:$AF$96))-$Z$83*SQRT($Y$87)*SQRT(H140)</f>
        <v>0.34168169344036015</v>
      </c>
      <c r="J140" cm="1">
        <f t="array" ref="J140">MMULT(D140:F140,TRANSPOSE($AD$96:$AF$96))+$Z$83*SQRT($Y$87)*SQRT(H140)</f>
        <v>0.44911456413199913</v>
      </c>
      <c r="K140">
        <f t="shared" si="13"/>
        <v>0.34168169344036015</v>
      </c>
      <c r="L140">
        <f t="shared" si="14"/>
        <v>0.44911456413199913</v>
      </c>
    </row>
    <row r="141" spans="2:12" x14ac:dyDescent="0.35">
      <c r="B141" s="2">
        <v>25</v>
      </c>
      <c r="C141" s="2">
        <v>0.32</v>
      </c>
      <c r="D141" s="2">
        <v>1</v>
      </c>
      <c r="E141" s="2">
        <v>4.78</v>
      </c>
      <c r="F141" s="2">
        <v>9318</v>
      </c>
      <c r="G141" s="2">
        <v>0.37737993153367499</v>
      </c>
      <c r="H141" cm="1">
        <f t="array" ref="H141">MMULT(MMULT(D141:F141,$W$70:$Y$72),TRANSPOSE(D141:F141))</f>
        <v>0.26154573123137981</v>
      </c>
      <c r="I141" cm="1">
        <f t="array" ref="I141">MMULT(D141:F141,TRANSPOSE($AD$96:$AF$96))-$Z$83*SQRT($Y$87)*SQRT(H141)</f>
        <v>0.32084703153481492</v>
      </c>
      <c r="J141" cm="1">
        <f t="array" ref="J141">MMULT(D141:F141,TRANSPOSE($AD$96:$AF$96))+$Z$83*SQRT($Y$87)*SQRT(H141)</f>
        <v>0.43391283153253507</v>
      </c>
      <c r="K141">
        <f t="shared" si="13"/>
        <v>0.32084703153481492</v>
      </c>
      <c r="L141">
        <f t="shared" si="14"/>
        <v>0.43391283153253507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5C9E-A323-4240-BB80-68AFDDB82A39}">
  <dimension ref="A1:V138"/>
  <sheetViews>
    <sheetView topLeftCell="A43" zoomScale="55" zoomScaleNormal="55" workbookViewId="0">
      <selection activeCell="W54" sqref="W54"/>
    </sheetView>
  </sheetViews>
  <sheetFormatPr defaultRowHeight="14.5" x14ac:dyDescent="0.35"/>
  <cols>
    <col min="1" max="1" width="4.1796875" bestFit="1" customWidth="1"/>
    <col min="2" max="2" width="18.90625" bestFit="1" customWidth="1"/>
    <col min="3" max="3" width="20.453125" bestFit="1" customWidth="1"/>
    <col min="4" max="4" width="12.54296875" bestFit="1" customWidth="1"/>
    <col min="5" max="5" width="9.90625" bestFit="1" customWidth="1"/>
    <col min="6" max="6" width="22.7265625" bestFit="1" customWidth="1"/>
    <col min="8" max="8" width="23" bestFit="1" customWidth="1"/>
    <col min="9" max="9" width="22.7265625" bestFit="1" customWidth="1"/>
    <col min="10" max="10" width="12.6328125" bestFit="1" customWidth="1"/>
    <col min="11" max="11" width="12" bestFit="1" customWidth="1"/>
  </cols>
  <sheetData>
    <row r="1" spans="1:11" x14ac:dyDescent="0.35">
      <c r="A1" s="34" t="s">
        <v>2</v>
      </c>
      <c r="B1" s="34" t="s">
        <v>3</v>
      </c>
      <c r="C1" s="34" t="s">
        <v>4</v>
      </c>
      <c r="D1" s="34" t="s">
        <v>5</v>
      </c>
      <c r="E1" s="34" t="s">
        <v>17</v>
      </c>
      <c r="F1" s="34" t="s">
        <v>21</v>
      </c>
      <c r="G1" s="34" t="s">
        <v>121</v>
      </c>
      <c r="H1" s="34" t="s">
        <v>123</v>
      </c>
      <c r="J1" s="37" t="s">
        <v>126</v>
      </c>
      <c r="K1" s="37" t="s">
        <v>127</v>
      </c>
    </row>
    <row r="2" spans="1:11" x14ac:dyDescent="0.35">
      <c r="A2" s="11">
        <v>1</v>
      </c>
      <c r="B2" s="11">
        <v>0.75</v>
      </c>
      <c r="C2" s="11">
        <v>3.92</v>
      </c>
      <c r="D2" s="11">
        <v>7298</v>
      </c>
      <c r="E2" s="11">
        <v>0.67653025707435455</v>
      </c>
      <c r="F2" s="11">
        <v>7.3469742925645454E-2</v>
      </c>
      <c r="G2" s="11">
        <f>F2^2</f>
        <v>5.3978031255604306E-3</v>
      </c>
      <c r="H2" s="11">
        <f>F2/$C$30</f>
        <v>1.3783618546654919</v>
      </c>
      <c r="J2" s="11">
        <f>F2/SQRT($C$29*(1-K2))</f>
        <v>1.4079501892456383</v>
      </c>
      <c r="K2" s="11">
        <v>4.158873322647777E-2</v>
      </c>
    </row>
    <row r="3" spans="1:11" x14ac:dyDescent="0.35">
      <c r="A3" s="11">
        <v>2</v>
      </c>
      <c r="B3" s="11">
        <v>0.71</v>
      </c>
      <c r="C3" s="11">
        <v>3.61</v>
      </c>
      <c r="D3" s="11">
        <v>6855</v>
      </c>
      <c r="E3" s="11">
        <v>0.71334116273436465</v>
      </c>
      <c r="F3" s="11">
        <v>-3.3411627343646888E-3</v>
      </c>
      <c r="G3" s="11">
        <f t="shared" ref="G3:G26" si="0">F3^2</f>
        <v>1.1163368417507323E-5</v>
      </c>
      <c r="H3" s="11">
        <f t="shared" ref="H3:H26" si="1">F3/$C$30</f>
        <v>-6.2683372499872936E-2</v>
      </c>
      <c r="J3" s="11">
        <f t="shared" ref="J3:J26" si="2">F3/SQRT($C$29*(1-K3))</f>
        <v>-6.4224403798241778E-2</v>
      </c>
      <c r="K3" s="11">
        <v>4.741322875669185E-2</v>
      </c>
    </row>
    <row r="4" spans="1:11" x14ac:dyDescent="0.35">
      <c r="A4" s="11">
        <v>3</v>
      </c>
      <c r="B4" s="11">
        <v>0.66</v>
      </c>
      <c r="C4" s="11">
        <v>3.32</v>
      </c>
      <c r="D4" s="11">
        <v>6636</v>
      </c>
      <c r="E4" s="11">
        <v>0.69910225825011874</v>
      </c>
      <c r="F4" s="11">
        <v>-3.9102258250118704E-2</v>
      </c>
      <c r="G4" s="11">
        <f t="shared" si="0"/>
        <v>1.5289866002589762E-3</v>
      </c>
      <c r="H4" s="11">
        <f t="shared" si="1"/>
        <v>-0.73359534220486933</v>
      </c>
      <c r="J4" s="11">
        <f t="shared" si="2"/>
        <v>-0.77347584715788387</v>
      </c>
      <c r="K4" s="11">
        <v>0.10046178778776449</v>
      </c>
    </row>
    <row r="5" spans="1:11" x14ac:dyDescent="0.35">
      <c r="A5" s="11">
        <v>4</v>
      </c>
      <c r="B5" s="11">
        <v>0.61</v>
      </c>
      <c r="C5" s="11">
        <v>3.07</v>
      </c>
      <c r="D5" s="11">
        <v>6506</v>
      </c>
      <c r="E5" s="11">
        <v>0.67218319647365332</v>
      </c>
      <c r="F5" s="11">
        <v>-6.2183196473653335E-2</v>
      </c>
      <c r="G5" s="11">
        <f t="shared" si="0"/>
        <v>3.8667499236809725E-3</v>
      </c>
      <c r="H5" s="11">
        <f t="shared" si="1"/>
        <v>-1.1666155699931693</v>
      </c>
      <c r="J5" s="11">
        <f t="shared" si="2"/>
        <v>-1.3228000636009818</v>
      </c>
      <c r="K5" s="11">
        <v>0.22220146203924807</v>
      </c>
    </row>
    <row r="6" spans="1:11" x14ac:dyDescent="0.35">
      <c r="A6" s="11">
        <v>5</v>
      </c>
      <c r="B6" s="11">
        <v>0.7</v>
      </c>
      <c r="C6" s="11">
        <v>3.06</v>
      </c>
      <c r="D6" s="11">
        <v>6450</v>
      </c>
      <c r="E6" s="11">
        <v>0.6837596616354964</v>
      </c>
      <c r="F6" s="11">
        <v>1.6240338364503559E-2</v>
      </c>
      <c r="G6" s="11">
        <f t="shared" si="0"/>
        <v>2.6374859019356612E-4</v>
      </c>
      <c r="H6" s="11">
        <f t="shared" si="1"/>
        <v>0.30468410555277042</v>
      </c>
      <c r="J6" s="11">
        <f t="shared" si="2"/>
        <v>0.34262513423279667</v>
      </c>
      <c r="K6" s="11">
        <v>0.20921001490835822</v>
      </c>
    </row>
    <row r="7" spans="1:11" x14ac:dyDescent="0.35">
      <c r="A7" s="11">
        <v>6</v>
      </c>
      <c r="B7" s="11">
        <v>0.72</v>
      </c>
      <c r="C7" s="11">
        <v>3.11</v>
      </c>
      <c r="D7" s="11">
        <v>6402</v>
      </c>
      <c r="E7" s="11">
        <v>0.70757534101509489</v>
      </c>
      <c r="F7" s="11">
        <v>1.2424658984905079E-2</v>
      </c>
      <c r="G7" s="11">
        <f t="shared" si="0"/>
        <v>1.543721508911825E-4</v>
      </c>
      <c r="H7" s="11">
        <f t="shared" si="1"/>
        <v>0.23309835205700877</v>
      </c>
      <c r="J7" s="11">
        <f t="shared" si="2"/>
        <v>0.25414279624704478</v>
      </c>
      <c r="K7" s="11">
        <v>0.15875441428315518</v>
      </c>
    </row>
    <row r="8" spans="1:11" x14ac:dyDescent="0.35">
      <c r="A8" s="11">
        <v>7</v>
      </c>
      <c r="B8" s="11">
        <v>0.77</v>
      </c>
      <c r="C8" s="11">
        <v>3.21</v>
      </c>
      <c r="D8" s="11">
        <v>6368</v>
      </c>
      <c r="E8" s="11">
        <v>0.73976378415933297</v>
      </c>
      <c r="F8" s="11">
        <v>3.0236215840667047E-2</v>
      </c>
      <c r="G8" s="11">
        <f t="shared" si="0"/>
        <v>9.1422874836340489E-4</v>
      </c>
      <c r="H8" s="11">
        <f t="shared" si="1"/>
        <v>0.56726000234390794</v>
      </c>
      <c r="J8" s="11">
        <f t="shared" si="2"/>
        <v>0.59879671048551542</v>
      </c>
      <c r="K8" s="11">
        <v>0.10255981308154549</v>
      </c>
    </row>
    <row r="9" spans="1:11" x14ac:dyDescent="0.35">
      <c r="A9" s="11">
        <v>8</v>
      </c>
      <c r="B9" s="11">
        <v>0.74</v>
      </c>
      <c r="C9" s="11">
        <v>3.26</v>
      </c>
      <c r="D9" s="11">
        <v>6340</v>
      </c>
      <c r="E9" s="11">
        <v>0.75859787785668642</v>
      </c>
      <c r="F9" s="11">
        <v>-1.8597877856686429E-2</v>
      </c>
      <c r="G9" s="11">
        <f t="shared" si="0"/>
        <v>3.458810607722274E-4</v>
      </c>
      <c r="H9" s="11">
        <f t="shared" si="1"/>
        <v>-0.348913775856381</v>
      </c>
      <c r="J9" s="11">
        <f t="shared" si="2"/>
        <v>-0.36483434135248</v>
      </c>
      <c r="K9" s="11">
        <v>8.5371329173436539E-2</v>
      </c>
    </row>
    <row r="10" spans="1:11" x14ac:dyDescent="0.35">
      <c r="A10" s="11">
        <v>9</v>
      </c>
      <c r="B10" s="11">
        <v>0.9</v>
      </c>
      <c r="C10" s="11">
        <v>3.42</v>
      </c>
      <c r="D10" s="11">
        <v>6349</v>
      </c>
      <c r="E10" s="11">
        <v>0.79430776027475236</v>
      </c>
      <c r="F10" s="11">
        <v>0.10569223972524766</v>
      </c>
      <c r="G10" s="11">
        <f t="shared" si="0"/>
        <v>1.1170849538139219E-2</v>
      </c>
      <c r="H10" s="11">
        <f t="shared" si="1"/>
        <v>1.9828863661450233</v>
      </c>
      <c r="J10" s="11">
        <f t="shared" si="2"/>
        <v>2.0628582218545715</v>
      </c>
      <c r="K10" s="11">
        <v>7.6032080565195947E-2</v>
      </c>
    </row>
    <row r="11" spans="1:11" x14ac:dyDescent="0.35">
      <c r="A11" s="11">
        <v>10</v>
      </c>
      <c r="B11" s="11">
        <v>0.82</v>
      </c>
      <c r="C11" s="11">
        <v>3.42</v>
      </c>
      <c r="D11" s="11">
        <v>6352</v>
      </c>
      <c r="E11" s="11">
        <v>0.79356052242241559</v>
      </c>
      <c r="F11" s="11">
        <v>2.6439477577584358E-2</v>
      </c>
      <c r="G11" s="11">
        <f t="shared" si="0"/>
        <v>6.9904597457558606E-4</v>
      </c>
      <c r="H11" s="11">
        <f t="shared" si="1"/>
        <v>0.49602960210583452</v>
      </c>
      <c r="J11" s="11">
        <f t="shared" si="2"/>
        <v>0.51592267702587291</v>
      </c>
      <c r="K11" s="11">
        <v>7.5629758966411054E-2</v>
      </c>
    </row>
    <row r="12" spans="1:11" x14ac:dyDescent="0.35">
      <c r="A12" s="11">
        <v>11</v>
      </c>
      <c r="B12" s="11">
        <v>0.75</v>
      </c>
      <c r="C12" s="11">
        <v>3.45</v>
      </c>
      <c r="D12" s="11">
        <v>6361</v>
      </c>
      <c r="E12" s="11">
        <v>0.79843473311073176</v>
      </c>
      <c r="F12" s="11">
        <v>-4.8434733110731765E-2</v>
      </c>
      <c r="G12" s="11">
        <f t="shared" si="0"/>
        <v>2.345923371507816E-3</v>
      </c>
      <c r="H12" s="11">
        <f t="shared" si="1"/>
        <v>-0.90868139593602415</v>
      </c>
      <c r="J12" s="11">
        <f t="shared" si="2"/>
        <v>-0.94654016592711998</v>
      </c>
      <c r="K12" s="11">
        <v>7.8394246024631631E-2</v>
      </c>
    </row>
    <row r="13" spans="1:11" x14ac:dyDescent="0.35">
      <c r="A13" s="11">
        <v>12</v>
      </c>
      <c r="B13" s="11">
        <v>0.77</v>
      </c>
      <c r="C13" s="11">
        <v>3.58</v>
      </c>
      <c r="D13" s="11">
        <v>6369</v>
      </c>
      <c r="E13" s="11">
        <v>0.82727777056758267</v>
      </c>
      <c r="F13" s="11">
        <v>-5.7277770567582653E-2</v>
      </c>
      <c r="G13" s="11">
        <f t="shared" si="0"/>
        <v>3.2807430011926376E-3</v>
      </c>
      <c r="H13" s="11">
        <f t="shared" si="1"/>
        <v>-1.0745851411313367</v>
      </c>
      <c r="J13" s="11">
        <f t="shared" si="2"/>
        <v>-1.1426164422853708</v>
      </c>
      <c r="K13" s="11">
        <v>0.11553485371246031</v>
      </c>
    </row>
    <row r="14" spans="1:11" x14ac:dyDescent="0.35">
      <c r="A14" s="11">
        <v>13</v>
      </c>
      <c r="B14" s="11">
        <v>0.78</v>
      </c>
      <c r="C14" s="11">
        <v>3.66</v>
      </c>
      <c r="D14" s="11">
        <v>6546</v>
      </c>
      <c r="E14" s="11">
        <v>0.80216653526725556</v>
      </c>
      <c r="F14" s="11">
        <v>-2.2166535267255538E-2</v>
      </c>
      <c r="G14" s="11">
        <f t="shared" si="0"/>
        <v>4.9135528575448351E-4</v>
      </c>
      <c r="H14" s="11">
        <f t="shared" si="1"/>
        <v>-0.41586516361441261</v>
      </c>
      <c r="J14" s="11">
        <f t="shared" si="2"/>
        <v>-0.43769901239158199</v>
      </c>
      <c r="K14" s="11">
        <v>9.7278159273779585E-2</v>
      </c>
    </row>
    <row r="15" spans="1:11" x14ac:dyDescent="0.35">
      <c r="A15" s="11">
        <v>14</v>
      </c>
      <c r="B15" s="11">
        <v>0.84</v>
      </c>
      <c r="C15" s="11">
        <v>3.78</v>
      </c>
      <c r="D15" s="11">
        <v>6672</v>
      </c>
      <c r="E15" s="11">
        <v>0.79924624245042097</v>
      </c>
      <c r="F15" s="11">
        <v>4.0753757549578995E-2</v>
      </c>
      <c r="G15" s="11">
        <f t="shared" si="0"/>
        <v>1.6608687544098668E-3</v>
      </c>
      <c r="H15" s="11">
        <f t="shared" si="1"/>
        <v>0.7645790308191962</v>
      </c>
      <c r="J15" s="11">
        <f t="shared" si="2"/>
        <v>0.81241224925746203</v>
      </c>
      <c r="K15" s="11">
        <v>0.11428940434594392</v>
      </c>
    </row>
    <row r="16" spans="1:11" x14ac:dyDescent="0.35">
      <c r="A16" s="11">
        <v>15</v>
      </c>
      <c r="B16" s="11">
        <v>0.79</v>
      </c>
      <c r="C16" s="11">
        <v>3.82</v>
      </c>
      <c r="D16" s="11">
        <v>6890</v>
      </c>
      <c r="E16" s="11">
        <v>0.75443485750772288</v>
      </c>
      <c r="F16" s="11">
        <v>3.5565142492277158E-2</v>
      </c>
      <c r="G16" s="11">
        <f t="shared" si="0"/>
        <v>1.2648793604959783E-3</v>
      </c>
      <c r="H16" s="11">
        <f t="shared" si="1"/>
        <v>0.66723570567967883</v>
      </c>
      <c r="J16" s="11">
        <f t="shared" si="2"/>
        <v>0.6927684434683834</v>
      </c>
      <c r="K16" s="11">
        <v>7.2353813320930715E-2</v>
      </c>
    </row>
    <row r="17" spans="1:11" x14ac:dyDescent="0.35">
      <c r="A17" s="11">
        <v>16</v>
      </c>
      <c r="B17" s="11">
        <v>0.7</v>
      </c>
      <c r="C17" s="11">
        <v>3.97</v>
      </c>
      <c r="D17" s="11">
        <v>7115</v>
      </c>
      <c r="E17" s="11">
        <v>0.73397163980910407</v>
      </c>
      <c r="F17" s="11">
        <v>-3.3971639809104115E-2</v>
      </c>
      <c r="G17" s="11">
        <f t="shared" si="0"/>
        <v>1.1540723113195074E-3</v>
      </c>
      <c r="H17" s="11">
        <f t="shared" si="1"/>
        <v>-0.63734008843196766</v>
      </c>
      <c r="J17" s="11">
        <f t="shared" si="2"/>
        <v>-0.66385660012739467</v>
      </c>
      <c r="K17" s="11">
        <v>7.8290809880544932E-2</v>
      </c>
    </row>
    <row r="18" spans="1:11" x14ac:dyDescent="0.35">
      <c r="A18" s="11">
        <v>17</v>
      </c>
      <c r="B18" s="11">
        <v>0.68</v>
      </c>
      <c r="C18" s="11">
        <v>4.07</v>
      </c>
      <c r="D18" s="11">
        <v>7327</v>
      </c>
      <c r="E18" s="11">
        <v>0.70488657906173291</v>
      </c>
      <c r="F18" s="11">
        <v>-2.4886579061732861E-2</v>
      </c>
      <c r="G18" s="11">
        <f t="shared" si="0"/>
        <v>6.193418173958804E-4</v>
      </c>
      <c r="H18" s="11">
        <f t="shared" si="1"/>
        <v>-0.46689575743480316</v>
      </c>
      <c r="J18" s="11">
        <f t="shared" si="2"/>
        <v>-0.48468331807208964</v>
      </c>
      <c r="K18" s="11">
        <v>7.2051849394726974E-2</v>
      </c>
    </row>
    <row r="19" spans="1:11" x14ac:dyDescent="0.35">
      <c r="A19" s="11">
        <v>18</v>
      </c>
      <c r="B19" s="11">
        <v>0.72</v>
      </c>
      <c r="C19" s="11">
        <v>4.25</v>
      </c>
      <c r="D19" s="11">
        <v>7546</v>
      </c>
      <c r="E19" s="11">
        <v>0.69303376131311389</v>
      </c>
      <c r="F19" s="11">
        <v>2.6966238686886079E-2</v>
      </c>
      <c r="G19" s="11">
        <f t="shared" si="0"/>
        <v>7.2717802891811149E-4</v>
      </c>
      <c r="H19" s="11">
        <f t="shared" si="1"/>
        <v>0.50591213865312556</v>
      </c>
      <c r="J19" s="11">
        <f t="shared" si="2"/>
        <v>0.53396839677691832</v>
      </c>
      <c r="K19" s="11">
        <v>0.10232507932009183</v>
      </c>
    </row>
    <row r="20" spans="1:11" x14ac:dyDescent="0.35">
      <c r="A20" s="11">
        <v>19</v>
      </c>
      <c r="B20" s="11">
        <v>0.55000000000000004</v>
      </c>
      <c r="C20" s="11">
        <v>4.41</v>
      </c>
      <c r="D20" s="11">
        <v>7931</v>
      </c>
      <c r="E20" s="11">
        <v>0.63508983290497989</v>
      </c>
      <c r="F20" s="11">
        <v>-8.5089832904979845E-2</v>
      </c>
      <c r="G20" s="11">
        <f t="shared" si="0"/>
        <v>7.2402796637973908E-3</v>
      </c>
      <c r="H20" s="11">
        <f t="shared" si="1"/>
        <v>-1.5963657313294519</v>
      </c>
      <c r="J20" s="11">
        <f t="shared" si="2"/>
        <v>-1.679003832081889</v>
      </c>
      <c r="K20" s="11">
        <v>9.6014596613825942E-2</v>
      </c>
    </row>
    <row r="21" spans="1:11" x14ac:dyDescent="0.35">
      <c r="A21" s="11">
        <v>20</v>
      </c>
      <c r="B21" s="11">
        <v>0.63</v>
      </c>
      <c r="C21" s="11">
        <v>4.49</v>
      </c>
      <c r="D21" s="11">
        <v>8097</v>
      </c>
      <c r="E21" s="11">
        <v>0.61271846972988708</v>
      </c>
      <c r="F21" s="11">
        <v>1.7281530270112921E-2</v>
      </c>
      <c r="G21" s="11">
        <f t="shared" si="0"/>
        <v>2.9865128847682916E-4</v>
      </c>
      <c r="H21" s="11">
        <f t="shared" si="1"/>
        <v>0.3242178503153027</v>
      </c>
      <c r="J21" s="11">
        <f t="shared" si="2"/>
        <v>0.34226894823708265</v>
      </c>
      <c r="K21" s="11">
        <v>0.102697571300296</v>
      </c>
    </row>
    <row r="22" spans="1:11" x14ac:dyDescent="0.35">
      <c r="A22" s="11">
        <v>21</v>
      </c>
      <c r="B22" s="11">
        <v>0.56000000000000005</v>
      </c>
      <c r="C22" s="11">
        <v>4.7</v>
      </c>
      <c r="D22" s="11">
        <v>8468</v>
      </c>
      <c r="E22" s="11">
        <v>0.57012152504153502</v>
      </c>
      <c r="F22" s="11">
        <v>-1.0121525041534962E-2</v>
      </c>
      <c r="G22" s="11">
        <f t="shared" si="0"/>
        <v>1.0244526916641932E-4</v>
      </c>
      <c r="H22" s="11">
        <f t="shared" si="1"/>
        <v>-0.18988938129826438</v>
      </c>
      <c r="J22" s="11">
        <f t="shared" si="2"/>
        <v>-0.20451849900485186</v>
      </c>
      <c r="K22" s="11">
        <v>0.13794263715149857</v>
      </c>
    </row>
    <row r="23" spans="1:11" x14ac:dyDescent="0.35">
      <c r="A23" s="11">
        <v>22</v>
      </c>
      <c r="B23" s="11">
        <v>0.41</v>
      </c>
      <c r="C23" s="11">
        <v>4.58</v>
      </c>
      <c r="D23" s="11">
        <v>8717</v>
      </c>
      <c r="E23" s="11">
        <v>0.47963708631628243</v>
      </c>
      <c r="F23" s="11">
        <v>-6.9637086316282459E-2</v>
      </c>
      <c r="G23" s="11">
        <f t="shared" si="0"/>
        <v>4.8493237906213739E-3</v>
      </c>
      <c r="H23" s="11">
        <f t="shared" si="1"/>
        <v>-1.3064575922846648</v>
      </c>
      <c r="J23" s="11">
        <f t="shared" si="2"/>
        <v>-1.4053480277710964</v>
      </c>
      <c r="K23" s="11">
        <v>0.13578289651877884</v>
      </c>
    </row>
    <row r="24" spans="1:11" x14ac:dyDescent="0.35">
      <c r="A24" s="11">
        <v>23</v>
      </c>
      <c r="B24" s="11">
        <v>0.51</v>
      </c>
      <c r="C24" s="11">
        <v>4.6900000000000004</v>
      </c>
      <c r="D24" s="11">
        <v>8991</v>
      </c>
      <c r="E24" s="11">
        <v>0.43748108470239533</v>
      </c>
      <c r="F24" s="11">
        <v>7.251891529760468E-2</v>
      </c>
      <c r="G24" s="11">
        <f t="shared" si="0"/>
        <v>5.2589930759411622E-3</v>
      </c>
      <c r="H24" s="11">
        <f t="shared" si="1"/>
        <v>1.3605234292040085</v>
      </c>
      <c r="J24" s="11">
        <f t="shared" si="2"/>
        <v>1.5025761689646104</v>
      </c>
      <c r="K24" s="11">
        <v>0.18014121066900923</v>
      </c>
    </row>
    <row r="25" spans="1:11" x14ac:dyDescent="0.35">
      <c r="A25" s="11">
        <v>24</v>
      </c>
      <c r="B25" s="11">
        <v>0.47</v>
      </c>
      <c r="C25" s="11">
        <v>4.71</v>
      </c>
      <c r="D25" s="11">
        <v>9179</v>
      </c>
      <c r="E25" s="11">
        <v>0.39539812878617964</v>
      </c>
      <c r="F25" s="11">
        <v>7.4601871213820337E-2</v>
      </c>
      <c r="G25" s="11">
        <f t="shared" si="0"/>
        <v>5.5654391886034351E-3</v>
      </c>
      <c r="H25" s="11">
        <f t="shared" si="1"/>
        <v>1.3996016519598322</v>
      </c>
      <c r="J25" s="11">
        <f t="shared" si="2"/>
        <v>1.6013859132813606</v>
      </c>
      <c r="K25" s="11">
        <v>0.23613451845374245</v>
      </c>
    </row>
    <row r="26" spans="1:11" x14ac:dyDescent="0.35">
      <c r="A26" s="11">
        <v>25</v>
      </c>
      <c r="B26" s="11">
        <v>0.32</v>
      </c>
      <c r="C26" s="11">
        <v>4.78</v>
      </c>
      <c r="D26" s="11">
        <v>9318</v>
      </c>
      <c r="E26" s="11">
        <v>0.37737993153367499</v>
      </c>
      <c r="F26" s="11">
        <v>-5.7379931533674988E-2</v>
      </c>
      <c r="G26" s="11">
        <f t="shared" si="0"/>
        <v>3.2924565428092295E-3</v>
      </c>
      <c r="H26" s="11">
        <f t="shared" si="1"/>
        <v>-1.076501777464745</v>
      </c>
      <c r="J26" s="11">
        <f t="shared" si="2"/>
        <v>-1.2527169351284686</v>
      </c>
      <c r="K26" s="11">
        <v>0.26154573123137981</v>
      </c>
    </row>
    <row r="27" spans="1:11" x14ac:dyDescent="0.35">
      <c r="F27" s="38" t="s">
        <v>129</v>
      </c>
      <c r="H27" t="s">
        <v>130</v>
      </c>
    </row>
    <row r="29" spans="1:11" x14ac:dyDescent="0.35">
      <c r="B29" s="35" t="s">
        <v>27</v>
      </c>
      <c r="C29" s="11">
        <v>2.8411263559665087E-3</v>
      </c>
    </row>
    <row r="30" spans="1:11" x14ac:dyDescent="0.35">
      <c r="B30" s="35" t="s">
        <v>122</v>
      </c>
      <c r="C30" s="11">
        <f>SQRT(C29)</f>
        <v>5.3302217176835233E-2</v>
      </c>
    </row>
    <row r="33" spans="1:17" x14ac:dyDescent="0.35">
      <c r="B33" s="48" t="s">
        <v>128</v>
      </c>
      <c r="C33" s="48"/>
      <c r="D33">
        <f>C34/C35</f>
        <v>0.12</v>
      </c>
    </row>
    <row r="34" spans="1:17" x14ac:dyDescent="0.35">
      <c r="B34" s="11" t="s">
        <v>25</v>
      </c>
      <c r="C34" s="11">
        <v>3</v>
      </c>
      <c r="D34" s="38">
        <f>2*D33</f>
        <v>0.24</v>
      </c>
    </row>
    <row r="35" spans="1:17" x14ac:dyDescent="0.35">
      <c r="B35" s="11" t="s">
        <v>23</v>
      </c>
      <c r="C35" s="11">
        <v>25</v>
      </c>
    </row>
    <row r="41" spans="1:17" x14ac:dyDescent="0.35">
      <c r="A41" s="49" t="s">
        <v>131</v>
      </c>
      <c r="B41" s="49"/>
      <c r="C41" s="49"/>
      <c r="D41" s="49"/>
      <c r="E41" s="49"/>
      <c r="F41" s="49" t="s">
        <v>132</v>
      </c>
      <c r="G41" s="49"/>
      <c r="H41" s="49"/>
      <c r="I41" s="49"/>
      <c r="J41" s="49" t="s">
        <v>133</v>
      </c>
      <c r="K41" s="49"/>
      <c r="L41" s="49"/>
      <c r="M41" s="49"/>
      <c r="N41" s="49"/>
      <c r="O41" s="49"/>
      <c r="P41" s="49"/>
      <c r="Q41" s="49"/>
    </row>
    <row r="76" spans="1:22" x14ac:dyDescent="0.35">
      <c r="A76" s="50" t="s">
        <v>139</v>
      </c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</row>
    <row r="77" spans="1:22" x14ac:dyDescent="0.3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</row>
    <row r="78" spans="1:22" x14ac:dyDescent="0.35">
      <c r="A78" s="44" t="s">
        <v>140</v>
      </c>
      <c r="B78" s="44"/>
      <c r="C78" s="44"/>
      <c r="D78" s="44"/>
    </row>
    <row r="79" spans="1:22" x14ac:dyDescent="0.35">
      <c r="E79" t="s">
        <v>135</v>
      </c>
    </row>
    <row r="80" spans="1:22" x14ac:dyDescent="0.35">
      <c r="E80" t="s">
        <v>141</v>
      </c>
    </row>
    <row r="85" spans="1:12" x14ac:dyDescent="0.35">
      <c r="A85" s="34" t="s">
        <v>2</v>
      </c>
      <c r="B85" s="34" t="s">
        <v>3</v>
      </c>
      <c r="C85" s="34" t="s">
        <v>4</v>
      </c>
      <c r="D85" s="34" t="s">
        <v>5</v>
      </c>
      <c r="E85" s="34" t="s">
        <v>17</v>
      </c>
      <c r="F85" s="34" t="s">
        <v>21</v>
      </c>
      <c r="G85" s="37" t="s">
        <v>127</v>
      </c>
      <c r="H85" s="37" t="s">
        <v>134</v>
      </c>
      <c r="I85" s="41" t="s">
        <v>136</v>
      </c>
      <c r="J85" s="34" t="s">
        <v>146</v>
      </c>
      <c r="K85" s="34" t="s">
        <v>138</v>
      </c>
      <c r="L85" s="42"/>
    </row>
    <row r="86" spans="1:12" x14ac:dyDescent="0.35">
      <c r="A86" s="11">
        <v>1</v>
      </c>
      <c r="B86" s="11">
        <v>0.75</v>
      </c>
      <c r="C86" s="11">
        <v>3.92</v>
      </c>
      <c r="D86" s="11">
        <v>7298</v>
      </c>
      <c r="E86" s="11">
        <v>0.67653025707435455</v>
      </c>
      <c r="F86" s="11">
        <v>7.3469742925645454E-2</v>
      </c>
      <c r="G86" s="11">
        <v>4.158873322647777E-2</v>
      </c>
      <c r="H86" s="6">
        <f>POWER(F86/($C$30*SQRT(1-G86)),2)*G86/(1-G86)*1/$C$34</f>
        <v>2.8673262324177575E-2</v>
      </c>
      <c r="I86" s="11">
        <f>($A$110-1)*(G86-1/$A$110)</f>
        <v>3.8129597435466456E-2</v>
      </c>
      <c r="J86" s="6">
        <f t="shared" ref="J86:J110" si="3">F86*G86/(1-G86)</f>
        <v>3.1881026910701017E-3</v>
      </c>
      <c r="K86">
        <f t="shared" ref="K86:K110" si="4">L86*F86/(1-G86)</f>
        <v>2.0480945083496882E-3</v>
      </c>
      <c r="L86">
        <v>2.6717350218659064E-2</v>
      </c>
    </row>
    <row r="87" spans="1:12" x14ac:dyDescent="0.35">
      <c r="A87" s="11">
        <v>2</v>
      </c>
      <c r="B87" s="11">
        <v>0.71</v>
      </c>
      <c r="C87" s="11">
        <v>3.61</v>
      </c>
      <c r="D87" s="11">
        <v>6855</v>
      </c>
      <c r="E87" s="11">
        <v>0.71334116273436465</v>
      </c>
      <c r="F87" s="11">
        <v>-3.3411627343646888E-3</v>
      </c>
      <c r="G87" s="11">
        <v>4.741322875669185E-2</v>
      </c>
      <c r="H87" s="39">
        <f t="shared" ref="H87:H110" si="5">POWER(F87/($C$30*SQRT(1-G87)),2)*G87/(1-G87)*1/$C$34</f>
        <v>6.8434310023197722E-5</v>
      </c>
      <c r="I87" s="11">
        <f>($A$110-1)*(G87-1/$A$110)</f>
        <v>0.17791749016060437</v>
      </c>
      <c r="J87" s="6">
        <f t="shared" si="3"/>
        <v>-1.6630013959883645E-4</v>
      </c>
      <c r="K87">
        <f t="shared" si="4"/>
        <v>-5.3897427236480671E-4</v>
      </c>
      <c r="L87">
        <v>0.15366499710252146</v>
      </c>
    </row>
    <row r="88" spans="1:12" x14ac:dyDescent="0.35">
      <c r="A88" s="11">
        <v>3</v>
      </c>
      <c r="B88" s="11">
        <v>0.66</v>
      </c>
      <c r="C88" s="11">
        <v>3.32</v>
      </c>
      <c r="D88" s="11">
        <v>6636</v>
      </c>
      <c r="E88" s="11">
        <v>0.69910225825011874</v>
      </c>
      <c r="F88" s="11">
        <v>-3.9102258250118704E-2</v>
      </c>
      <c r="G88" s="11">
        <v>0.10046178778776449</v>
      </c>
      <c r="H88" s="6">
        <f t="shared" si="5"/>
        <v>2.2271709052476312E-2</v>
      </c>
      <c r="I88" s="11">
        <f t="shared" ref="I88:I110" si="6">($A$110-1)*(G88-1/$A$110)</f>
        <v>1.4510829069063478</v>
      </c>
      <c r="J88" s="6">
        <f t="shared" si="3"/>
        <v>-4.3669993303396834E-3</v>
      </c>
      <c r="K88">
        <f t="shared" si="4"/>
        <v>-8.9034925443289784E-3</v>
      </c>
      <c r="L88">
        <v>0.20482274232195641</v>
      </c>
    </row>
    <row r="89" spans="1:12" x14ac:dyDescent="0.35">
      <c r="A89" s="11">
        <v>4</v>
      </c>
      <c r="B89" s="11">
        <v>0.61</v>
      </c>
      <c r="C89" s="11">
        <v>3.07</v>
      </c>
      <c r="D89" s="11">
        <v>6506</v>
      </c>
      <c r="E89" s="11">
        <v>0.67218319647365332</v>
      </c>
      <c r="F89" s="11">
        <v>-6.2183196473653335E-2</v>
      </c>
      <c r="G89" s="11">
        <v>0.22220146203924807</v>
      </c>
      <c r="H89" s="6">
        <f t="shared" si="5"/>
        <v>0.16662760390870149</v>
      </c>
      <c r="I89" s="11">
        <f t="shared" si="6"/>
        <v>4.3728350889419536</v>
      </c>
      <c r="J89" s="6">
        <f t="shared" si="3"/>
        <v>-1.7764493627033286E-2</v>
      </c>
      <c r="K89">
        <f t="shared" si="4"/>
        <v>-1.8274959141178212E-2</v>
      </c>
      <c r="L89">
        <v>0.22858645594591431</v>
      </c>
    </row>
    <row r="90" spans="1:12" x14ac:dyDescent="0.35">
      <c r="A90" s="11">
        <v>5</v>
      </c>
      <c r="B90" s="11">
        <v>0.7</v>
      </c>
      <c r="C90" s="11">
        <v>3.06</v>
      </c>
      <c r="D90" s="11">
        <v>6450</v>
      </c>
      <c r="E90" s="11">
        <v>0.6837596616354964</v>
      </c>
      <c r="F90" s="11">
        <v>1.6240338364503559E-2</v>
      </c>
      <c r="G90" s="11">
        <v>0.20921001490835822</v>
      </c>
      <c r="H90" s="6">
        <f t="shared" si="5"/>
        <v>1.0352339177514181E-2</v>
      </c>
      <c r="I90" s="11">
        <f t="shared" si="6"/>
        <v>4.0610403578005974</v>
      </c>
      <c r="J90" s="6">
        <f t="shared" si="3"/>
        <v>4.2965155040005105E-3</v>
      </c>
      <c r="K90">
        <f t="shared" si="4"/>
        <v>5.0748580589471048E-3</v>
      </c>
      <c r="L90">
        <v>0.2471098100732001</v>
      </c>
    </row>
    <row r="91" spans="1:12" x14ac:dyDescent="0.35">
      <c r="A91" s="11">
        <v>6</v>
      </c>
      <c r="B91" s="11">
        <v>0.72</v>
      </c>
      <c r="C91" s="11">
        <v>3.11</v>
      </c>
      <c r="D91" s="11">
        <v>6402</v>
      </c>
      <c r="E91" s="11">
        <v>0.70757534101509489</v>
      </c>
      <c r="F91" s="11">
        <v>1.2424658984905079E-2</v>
      </c>
      <c r="G91" s="11">
        <v>0.15875441428315518</v>
      </c>
      <c r="H91" s="6">
        <f t="shared" si="5"/>
        <v>4.0629115233677656E-3</v>
      </c>
      <c r="I91" s="11">
        <f t="shared" si="6"/>
        <v>2.8501059427957243</v>
      </c>
      <c r="J91" s="6">
        <f t="shared" si="3"/>
        <v>2.3447011114308084E-3</v>
      </c>
      <c r="K91">
        <f t="shared" si="4"/>
        <v>3.9575275578789563E-3</v>
      </c>
      <c r="L91">
        <v>0.26795524870849174</v>
      </c>
    </row>
    <row r="92" spans="1:12" x14ac:dyDescent="0.35">
      <c r="A92" s="11">
        <v>7</v>
      </c>
      <c r="B92" s="11">
        <v>0.77</v>
      </c>
      <c r="C92" s="11">
        <v>3.21</v>
      </c>
      <c r="D92" s="11">
        <v>6368</v>
      </c>
      <c r="E92" s="11">
        <v>0.73976378415933297</v>
      </c>
      <c r="F92" s="11">
        <v>3.0236215840667047E-2</v>
      </c>
      <c r="G92" s="11">
        <v>0.10255981308154549</v>
      </c>
      <c r="H92" s="6">
        <f t="shared" si="5"/>
        <v>1.3658696800482878E-2</v>
      </c>
      <c r="I92" s="11">
        <f t="shared" si="6"/>
        <v>1.5014355139570916</v>
      </c>
      <c r="J92" s="6">
        <f t="shared" si="3"/>
        <v>3.455406488492642E-3</v>
      </c>
      <c r="K92">
        <f t="shared" si="4"/>
        <v>9.7098918992118196E-3</v>
      </c>
      <c r="L92">
        <v>0.28819900105576179</v>
      </c>
    </row>
    <row r="93" spans="1:12" x14ac:dyDescent="0.35">
      <c r="A93" s="11">
        <v>8</v>
      </c>
      <c r="B93" s="11">
        <v>0.74</v>
      </c>
      <c r="C93" s="11">
        <v>3.26</v>
      </c>
      <c r="D93" s="11">
        <v>6340</v>
      </c>
      <c r="E93" s="11">
        <v>0.75859787785668642</v>
      </c>
      <c r="F93" s="11">
        <v>-1.8597877856686429E-2</v>
      </c>
      <c r="G93" s="11">
        <v>8.5371329173436539E-2</v>
      </c>
      <c r="H93" s="6">
        <f t="shared" si="5"/>
        <v>4.1413067438147077E-3</v>
      </c>
      <c r="I93" s="11">
        <f t="shared" si="6"/>
        <v>1.088911900162477</v>
      </c>
      <c r="J93" s="6">
        <f t="shared" si="3"/>
        <v>-1.7359236628736912E-3</v>
      </c>
      <c r="K93">
        <f t="shared" si="4"/>
        <v>-6.1433703679319145E-3</v>
      </c>
      <c r="L93">
        <v>0.30212601229643621</v>
      </c>
    </row>
    <row r="94" spans="1:12" x14ac:dyDescent="0.35">
      <c r="A94" s="11">
        <v>9</v>
      </c>
      <c r="B94" s="11">
        <v>0.9</v>
      </c>
      <c r="C94" s="11">
        <v>3.42</v>
      </c>
      <c r="D94" s="11">
        <v>6349</v>
      </c>
      <c r="E94" s="11">
        <v>0.79430776027475236</v>
      </c>
      <c r="F94" s="11">
        <v>0.10569223972524766</v>
      </c>
      <c r="G94" s="11">
        <v>7.6032080565195947E-2</v>
      </c>
      <c r="H94" s="6">
        <f t="shared" si="5"/>
        <v>0.11672328141259251</v>
      </c>
      <c r="I94" s="11">
        <f t="shared" si="6"/>
        <v>0.86476993356470278</v>
      </c>
      <c r="J94" s="6">
        <f t="shared" si="3"/>
        <v>8.697272618319582E-3</v>
      </c>
      <c r="K94">
        <f t="shared" si="4"/>
        <v>3.5756400098649853E-2</v>
      </c>
      <c r="L94">
        <v>0.31258460121113218</v>
      </c>
    </row>
    <row r="95" spans="1:12" x14ac:dyDescent="0.35">
      <c r="A95" s="11">
        <v>10</v>
      </c>
      <c r="B95" s="11">
        <v>0.82</v>
      </c>
      <c r="C95" s="11">
        <v>3.42</v>
      </c>
      <c r="D95" s="11">
        <v>6352</v>
      </c>
      <c r="E95" s="11">
        <v>0.79356052242241559</v>
      </c>
      <c r="F95" s="11">
        <v>2.6439477577584358E-2</v>
      </c>
      <c r="G95" s="11">
        <v>7.5629758966411054E-2</v>
      </c>
      <c r="H95" s="6">
        <f t="shared" si="5"/>
        <v>7.2592999394417565E-3</v>
      </c>
      <c r="I95" s="11">
        <f t="shared" si="6"/>
        <v>0.85511421519386532</v>
      </c>
      <c r="J95" s="6">
        <f t="shared" si="3"/>
        <v>2.163214724605002E-3</v>
      </c>
      <c r="K95">
        <f t="shared" si="4"/>
        <v>8.9110783193470915E-3</v>
      </c>
      <c r="L95">
        <v>0.31154683710193964</v>
      </c>
    </row>
    <row r="96" spans="1:12" x14ac:dyDescent="0.35">
      <c r="A96" s="11">
        <v>11</v>
      </c>
      <c r="B96" s="11">
        <v>0.75</v>
      </c>
      <c r="C96" s="11">
        <v>3.45</v>
      </c>
      <c r="D96" s="11">
        <v>6361</v>
      </c>
      <c r="E96" s="11">
        <v>0.79843473311073176</v>
      </c>
      <c r="F96" s="11">
        <v>-4.8434733110731765E-2</v>
      </c>
      <c r="G96" s="11">
        <v>7.8394246024631631E-2</v>
      </c>
      <c r="H96" s="6">
        <f t="shared" si="5"/>
        <v>2.5403634214931151E-2</v>
      </c>
      <c r="I96" s="11">
        <f t="shared" si="6"/>
        <v>0.92146190459115918</v>
      </c>
      <c r="J96" s="6">
        <f t="shared" si="3"/>
        <v>-4.1199877140974967E-3</v>
      </c>
      <c r="K96">
        <f t="shared" si="4"/>
        <v>-1.6343376294208213E-2</v>
      </c>
      <c r="L96">
        <v>0.31097827250728827</v>
      </c>
    </row>
    <row r="97" spans="1:15" x14ac:dyDescent="0.35">
      <c r="A97" s="11">
        <v>12</v>
      </c>
      <c r="B97" s="11">
        <v>0.77</v>
      </c>
      <c r="C97" s="11">
        <v>3.58</v>
      </c>
      <c r="D97" s="11">
        <v>6369</v>
      </c>
      <c r="E97" s="11">
        <v>0.82727777056758267</v>
      </c>
      <c r="F97" s="11">
        <v>-5.7277770567582653E-2</v>
      </c>
      <c r="G97" s="11">
        <v>0.11553485371246031</v>
      </c>
      <c r="H97" s="6">
        <f t="shared" si="5"/>
        <v>5.6847579682763182E-2</v>
      </c>
      <c r="I97" s="11">
        <f t="shared" si="6"/>
        <v>1.8128364890990472</v>
      </c>
      <c r="J97" s="6">
        <f t="shared" si="3"/>
        <v>-7.4820120061013127E-3</v>
      </c>
      <c r="K97">
        <f t="shared" si="4"/>
        <v>-2.0673787034852897E-2</v>
      </c>
      <c r="L97">
        <v>0.31923805505878855</v>
      </c>
    </row>
    <row r="98" spans="1:15" x14ac:dyDescent="0.35">
      <c r="A98" s="11">
        <v>13</v>
      </c>
      <c r="B98" s="11">
        <v>0.78</v>
      </c>
      <c r="C98" s="11">
        <v>3.66</v>
      </c>
      <c r="D98" s="11">
        <v>6546</v>
      </c>
      <c r="E98" s="11">
        <v>0.80216653526725556</v>
      </c>
      <c r="F98" s="11">
        <v>-2.2166535267255538E-2</v>
      </c>
      <c r="G98" s="11">
        <v>9.7278159273779585E-2</v>
      </c>
      <c r="H98" s="6">
        <f t="shared" si="5"/>
        <v>6.8816292755737264E-3</v>
      </c>
      <c r="I98" s="11">
        <f t="shared" si="6"/>
        <v>1.3746758225707101</v>
      </c>
      <c r="J98" s="6">
        <f t="shared" si="3"/>
        <v>-2.3886868036129753E-3</v>
      </c>
      <c r="K98">
        <f t="shared" si="4"/>
        <v>-6.5021224530068403E-3</v>
      </c>
      <c r="L98">
        <v>0.26479591323756502</v>
      </c>
    </row>
    <row r="99" spans="1:15" x14ac:dyDescent="0.35">
      <c r="A99" s="11">
        <v>14</v>
      </c>
      <c r="B99" s="11">
        <v>0.84</v>
      </c>
      <c r="C99" s="11">
        <v>3.78</v>
      </c>
      <c r="D99" s="11">
        <v>6672</v>
      </c>
      <c r="E99" s="11">
        <v>0.79924624245042097</v>
      </c>
      <c r="F99" s="11">
        <v>4.0753757549578995E-2</v>
      </c>
      <c r="G99" s="11">
        <v>0.11428940434594392</v>
      </c>
      <c r="H99" s="6">
        <f t="shared" si="5"/>
        <v>2.8388719274397501E-2</v>
      </c>
      <c r="I99" s="11">
        <f t="shared" si="6"/>
        <v>1.782945704302654</v>
      </c>
      <c r="J99" s="6">
        <f t="shared" si="3"/>
        <v>5.2587410583712019E-3</v>
      </c>
      <c r="K99">
        <f t="shared" si="4"/>
        <v>1.0646773689866563E-2</v>
      </c>
      <c r="L99">
        <v>0.23138873158318285</v>
      </c>
    </row>
    <row r="100" spans="1:15" x14ac:dyDescent="0.35">
      <c r="A100" s="11">
        <v>15</v>
      </c>
      <c r="B100" s="11">
        <v>0.79</v>
      </c>
      <c r="C100" s="11">
        <v>3.82</v>
      </c>
      <c r="D100" s="11">
        <v>6890</v>
      </c>
      <c r="E100" s="11">
        <v>0.75443485750772288</v>
      </c>
      <c r="F100" s="11">
        <v>3.5565142492277158E-2</v>
      </c>
      <c r="G100" s="11">
        <v>7.2353813320930715E-2</v>
      </c>
      <c r="H100" s="6">
        <f t="shared" si="5"/>
        <v>1.247768449882105E-2</v>
      </c>
      <c r="I100" s="11">
        <f t="shared" si="6"/>
        <v>0.77649151970233721</v>
      </c>
      <c r="J100" s="6">
        <f t="shared" si="3"/>
        <v>2.7739818452019124E-3</v>
      </c>
      <c r="K100">
        <f t="shared" si="4"/>
        <v>6.1101385767572004E-3</v>
      </c>
      <c r="L100">
        <v>0.15937084329242568</v>
      </c>
    </row>
    <row r="101" spans="1:15" x14ac:dyDescent="0.35">
      <c r="A101" s="11">
        <v>16</v>
      </c>
      <c r="B101" s="11">
        <v>0.7</v>
      </c>
      <c r="C101" s="11">
        <v>3.97</v>
      </c>
      <c r="D101" s="11">
        <v>7115</v>
      </c>
      <c r="E101" s="11">
        <v>0.73397163980910407</v>
      </c>
      <c r="F101" s="11">
        <v>-3.3971639809104115E-2</v>
      </c>
      <c r="G101" s="11">
        <v>7.8290809880544932E-2</v>
      </c>
      <c r="H101" s="6">
        <f t="shared" si="5"/>
        <v>1.247797663301424E-2</v>
      </c>
      <c r="I101" s="11">
        <f t="shared" si="6"/>
        <v>0.91897943713307839</v>
      </c>
      <c r="J101" s="6">
        <f t="shared" si="3"/>
        <v>-2.8855817237541316E-3</v>
      </c>
      <c r="K101">
        <f t="shared" si="4"/>
        <v>-3.4742418207217829E-3</v>
      </c>
      <c r="L101">
        <v>9.4262173767615476E-2</v>
      </c>
    </row>
    <row r="102" spans="1:15" x14ac:dyDescent="0.35">
      <c r="A102" s="11">
        <v>17</v>
      </c>
      <c r="B102" s="11">
        <v>0.68</v>
      </c>
      <c r="C102" s="11">
        <v>4.07</v>
      </c>
      <c r="D102" s="11">
        <v>7327</v>
      </c>
      <c r="E102" s="11">
        <v>0.70488657906173291</v>
      </c>
      <c r="F102" s="11">
        <v>-2.4886579061732861E-2</v>
      </c>
      <c r="G102" s="11">
        <v>7.2051849394726974E-2</v>
      </c>
      <c r="H102" s="6">
        <f t="shared" si="5"/>
        <v>6.0801782569824868E-3</v>
      </c>
      <c r="I102" s="11">
        <f t="shared" si="6"/>
        <v>0.76924438547344742</v>
      </c>
      <c r="J102" s="6">
        <f t="shared" si="3"/>
        <v>-1.9323537046076768E-3</v>
      </c>
      <c r="K102">
        <f t="shared" si="4"/>
        <v>-7.8872521233865436E-4</v>
      </c>
      <c r="L102">
        <v>2.9409269161096319E-2</v>
      </c>
    </row>
    <row r="103" spans="1:15" x14ac:dyDescent="0.35">
      <c r="A103" s="11">
        <v>18</v>
      </c>
      <c r="B103" s="11">
        <v>0.72</v>
      </c>
      <c r="C103" s="11">
        <v>4.25</v>
      </c>
      <c r="D103" s="11">
        <v>7546</v>
      </c>
      <c r="E103" s="11">
        <v>0.69303376131311389</v>
      </c>
      <c r="F103" s="11">
        <v>2.6966238686886079E-2</v>
      </c>
      <c r="G103" s="11">
        <v>0.10232507932009183</v>
      </c>
      <c r="H103" s="6">
        <f t="shared" si="5"/>
        <v>1.0833601358286633E-2</v>
      </c>
      <c r="I103" s="11">
        <f t="shared" si="6"/>
        <v>1.4958019036822039</v>
      </c>
      <c r="J103" s="6">
        <f t="shared" si="3"/>
        <v>3.0738549657934166E-3</v>
      </c>
      <c r="K103">
        <f t="shared" si="4"/>
        <v>-9.3362040879372361E-4</v>
      </c>
      <c r="L103">
        <v>-3.107914441240256E-2</v>
      </c>
    </row>
    <row r="104" spans="1:15" x14ac:dyDescent="0.35">
      <c r="A104" s="11">
        <v>19</v>
      </c>
      <c r="B104" s="11">
        <v>0.55000000000000004</v>
      </c>
      <c r="C104" s="11">
        <v>4.41</v>
      </c>
      <c r="D104" s="11">
        <v>7931</v>
      </c>
      <c r="E104" s="11">
        <v>0.63508983290497989</v>
      </c>
      <c r="F104" s="11">
        <v>-8.5089832904979845E-2</v>
      </c>
      <c r="G104" s="11">
        <v>9.6014596613825942E-2</v>
      </c>
      <c r="H104" s="6">
        <f t="shared" si="5"/>
        <v>9.9806301801174876E-2</v>
      </c>
      <c r="I104" s="11">
        <f t="shared" si="6"/>
        <v>1.3443503187318226</v>
      </c>
      <c r="J104" s="6">
        <f t="shared" si="3"/>
        <v>-9.0376082973315473E-3</v>
      </c>
      <c r="K104">
        <f t="shared" si="4"/>
        <v>1.4183780839795759E-2</v>
      </c>
      <c r="L104">
        <v>-0.15068699051650691</v>
      </c>
    </row>
    <row r="105" spans="1:15" x14ac:dyDescent="0.35">
      <c r="A105" s="11">
        <v>20</v>
      </c>
      <c r="B105" s="11">
        <v>0.63</v>
      </c>
      <c r="C105" s="11">
        <v>4.49</v>
      </c>
      <c r="D105" s="11">
        <v>8097</v>
      </c>
      <c r="E105" s="11">
        <v>0.61271846972988708</v>
      </c>
      <c r="F105" s="11">
        <v>1.7281530270112921E-2</v>
      </c>
      <c r="G105" s="11">
        <v>0.102697571300296</v>
      </c>
      <c r="H105" s="6">
        <f t="shared" si="5"/>
        <v>4.4692543931098014E-3</v>
      </c>
      <c r="I105" s="11">
        <f t="shared" si="6"/>
        <v>1.5047417112071038</v>
      </c>
      <c r="J105" s="6">
        <f t="shared" si="3"/>
        <v>1.9778963372081761E-3</v>
      </c>
      <c r="K105">
        <f t="shared" si="4"/>
        <v>-3.8773847497274002E-3</v>
      </c>
      <c r="L105">
        <v>-0.20132399727069172</v>
      </c>
    </row>
    <row r="106" spans="1:15" x14ac:dyDescent="0.35">
      <c r="A106" s="11">
        <v>21</v>
      </c>
      <c r="B106" s="11">
        <v>0.56000000000000005</v>
      </c>
      <c r="C106" s="11">
        <v>4.7</v>
      </c>
      <c r="D106" s="11">
        <v>8468</v>
      </c>
      <c r="E106" s="11">
        <v>0.57012152504153502</v>
      </c>
      <c r="F106" s="11">
        <v>-1.0121525041534962E-2</v>
      </c>
      <c r="G106" s="11">
        <v>0.13794263715149857</v>
      </c>
      <c r="H106" s="6">
        <f t="shared" si="5"/>
        <v>2.2310345591135734E-3</v>
      </c>
      <c r="I106" s="11">
        <f t="shared" si="6"/>
        <v>2.3506232916359657</v>
      </c>
      <c r="J106" s="6">
        <f t="shared" si="3"/>
        <v>-1.6196020315989471E-3</v>
      </c>
      <c r="K106">
        <f t="shared" si="4"/>
        <v>3.6614438407833738E-3</v>
      </c>
      <c r="L106">
        <v>-0.31184773131035293</v>
      </c>
    </row>
    <row r="107" spans="1:15" x14ac:dyDescent="0.35">
      <c r="A107" s="11">
        <v>22</v>
      </c>
      <c r="B107" s="11">
        <v>0.41</v>
      </c>
      <c r="C107" s="11">
        <v>4.58</v>
      </c>
      <c r="D107" s="11">
        <v>8717</v>
      </c>
      <c r="E107" s="11">
        <v>0.47963708631628243</v>
      </c>
      <c r="F107" s="11">
        <v>-6.9637086316282459E-2</v>
      </c>
      <c r="G107" s="11">
        <v>0.13578289651877884</v>
      </c>
      <c r="H107" s="6">
        <f t="shared" si="5"/>
        <v>0.10343528944352197</v>
      </c>
      <c r="I107" s="11">
        <f t="shared" si="6"/>
        <v>2.2987895164506922</v>
      </c>
      <c r="J107" s="6">
        <f t="shared" si="3"/>
        <v>-1.0941145745744332E-2</v>
      </c>
      <c r="K107">
        <f t="shared" si="4"/>
        <v>3.2888896877677168E-2</v>
      </c>
      <c r="L107">
        <v>-0.40816106330504054</v>
      </c>
    </row>
    <row r="108" spans="1:15" x14ac:dyDescent="0.35">
      <c r="A108" s="11">
        <v>23</v>
      </c>
      <c r="B108" s="11">
        <v>0.51</v>
      </c>
      <c r="C108" s="11">
        <v>4.6900000000000004</v>
      </c>
      <c r="D108" s="11">
        <v>8991</v>
      </c>
      <c r="E108" s="11">
        <v>0.43748108470239533</v>
      </c>
      <c r="F108" s="11">
        <v>7.251891529760468E-2</v>
      </c>
      <c r="G108" s="11">
        <v>0.18014121066900923</v>
      </c>
      <c r="H108" s="6">
        <f t="shared" si="5"/>
        <v>0.1653582086004548</v>
      </c>
      <c r="I108" s="11">
        <f t="shared" si="6"/>
        <v>3.3633890560562216</v>
      </c>
      <c r="J108" s="6">
        <f t="shared" si="3"/>
        <v>1.593401859943936E-2</v>
      </c>
      <c r="K108">
        <f t="shared" si="4"/>
        <v>-4.3661504814534353E-2</v>
      </c>
      <c r="L108">
        <v>-0.49361285025723101</v>
      </c>
    </row>
    <row r="109" spans="1:15" x14ac:dyDescent="0.35">
      <c r="A109" s="11">
        <v>24</v>
      </c>
      <c r="B109" s="11">
        <v>0.47</v>
      </c>
      <c r="C109" s="11">
        <v>4.71</v>
      </c>
      <c r="D109" s="11">
        <v>9179</v>
      </c>
      <c r="E109" s="11">
        <v>0.39539812878617964</v>
      </c>
      <c r="F109" s="11">
        <v>7.4601871213820337E-2</v>
      </c>
      <c r="G109" s="11">
        <v>0.23613451845374245</v>
      </c>
      <c r="H109" s="40">
        <f t="shared" si="5"/>
        <v>0.26424899571824007</v>
      </c>
      <c r="I109" s="11">
        <f t="shared" si="6"/>
        <v>4.7072284428898188</v>
      </c>
      <c r="J109" s="6">
        <f t="shared" si="3"/>
        <v>2.3061752835282154E-2</v>
      </c>
      <c r="K109">
        <f t="shared" si="4"/>
        <v>-5.4393714650459106E-2</v>
      </c>
      <c r="L109">
        <v>-0.55694958261134664</v>
      </c>
    </row>
    <row r="110" spans="1:15" x14ac:dyDescent="0.35">
      <c r="A110" s="11">
        <v>25</v>
      </c>
      <c r="B110" s="11">
        <v>0.32</v>
      </c>
      <c r="C110" s="11">
        <v>4.78</v>
      </c>
      <c r="D110" s="11">
        <v>9318</v>
      </c>
      <c r="E110" s="11">
        <v>0.37737993153367499</v>
      </c>
      <c r="F110" s="11">
        <v>-5.7379931533674988E-2</v>
      </c>
      <c r="G110" s="11">
        <v>0.26154573123137981</v>
      </c>
      <c r="H110" s="6">
        <f t="shared" si="5"/>
        <v>0.18527152370014152</v>
      </c>
      <c r="I110" s="11">
        <f t="shared" si="6"/>
        <v>5.3170975495531154</v>
      </c>
      <c r="J110" s="6">
        <f t="shared" si="3"/>
        <v>-2.0322824019971673E-2</v>
      </c>
      <c r="K110">
        <f t="shared" si="4"/>
        <v>4.6551328838714066E-2</v>
      </c>
      <c r="L110">
        <v>-0.59909495496044052</v>
      </c>
    </row>
    <row r="112" spans="1:15" x14ac:dyDescent="0.35">
      <c r="O112" t="s">
        <v>150</v>
      </c>
    </row>
    <row r="113" spans="1:20" x14ac:dyDescent="0.35">
      <c r="A113" s="45" t="s">
        <v>142</v>
      </c>
      <c r="B113" s="45"/>
      <c r="C113" s="45"/>
      <c r="D113" s="45"/>
      <c r="H113" s="46" t="s">
        <v>146</v>
      </c>
      <c r="I113" s="46"/>
      <c r="J113" s="46"/>
      <c r="K113" s="46"/>
      <c r="O113" s="47" t="s">
        <v>138</v>
      </c>
      <c r="P113" s="47"/>
      <c r="Q113" s="47"/>
      <c r="R113" s="47"/>
      <c r="S113" s="47"/>
      <c r="T113" s="47"/>
    </row>
    <row r="114" spans="1:20" x14ac:dyDescent="0.35">
      <c r="B114" t="s">
        <v>137</v>
      </c>
      <c r="C114">
        <f>_xlfn.CHISQ.INV(0.99,2)</f>
        <v>9.2103403719761818</v>
      </c>
      <c r="H114" t="s">
        <v>147</v>
      </c>
    </row>
    <row r="115" spans="1:20" x14ac:dyDescent="0.35">
      <c r="I115" t="s">
        <v>148</v>
      </c>
    </row>
    <row r="117" spans="1:20" x14ac:dyDescent="0.35">
      <c r="B117" t="s">
        <v>143</v>
      </c>
    </row>
    <row r="118" spans="1:20" x14ac:dyDescent="0.35">
      <c r="B118" t="s">
        <v>144</v>
      </c>
    </row>
    <row r="119" spans="1:20" x14ac:dyDescent="0.35">
      <c r="B119" t="s">
        <v>145</v>
      </c>
    </row>
    <row r="120" spans="1:20" x14ac:dyDescent="0.35">
      <c r="O120" t="s">
        <v>149</v>
      </c>
      <c r="Q120">
        <f>2/SQRT(A110)</f>
        <v>0.4</v>
      </c>
      <c r="S120" t="s">
        <v>151</v>
      </c>
    </row>
    <row r="138" spans="8:8" x14ac:dyDescent="0.35">
      <c r="H138">
        <f>2/SQRT(A110)</f>
        <v>0.4</v>
      </c>
    </row>
  </sheetData>
  <mergeCells count="9">
    <mergeCell ref="A78:D78"/>
    <mergeCell ref="A113:D113"/>
    <mergeCell ref="H113:K113"/>
    <mergeCell ref="O113:T113"/>
    <mergeCell ref="B33:C33"/>
    <mergeCell ref="A41:E41"/>
    <mergeCell ref="F41:I41"/>
    <mergeCell ref="J41:Q41"/>
    <mergeCell ref="A76:V7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3166-CB99-45E4-B1BA-734019E59C53}">
  <dimension ref="A2:AL74"/>
  <sheetViews>
    <sheetView topLeftCell="L1" zoomScale="70" zoomScaleNormal="70" workbookViewId="0">
      <selection activeCell="R75" sqref="R75"/>
    </sheetView>
  </sheetViews>
  <sheetFormatPr defaultRowHeight="14.5" x14ac:dyDescent="0.35"/>
  <cols>
    <col min="13" max="13" width="9.36328125" bestFit="1" customWidth="1"/>
  </cols>
  <sheetData>
    <row r="2" spans="1:31" x14ac:dyDescent="0.35">
      <c r="A2" s="5" t="s">
        <v>8</v>
      </c>
      <c r="B2" s="6"/>
      <c r="C2" s="6" t="s">
        <v>6</v>
      </c>
      <c r="D2" s="6" t="s">
        <v>7</v>
      </c>
      <c r="F2" s="5" t="s">
        <v>9</v>
      </c>
    </row>
    <row r="3" spans="1:31" x14ac:dyDescent="0.35">
      <c r="B3" s="6">
        <v>1</v>
      </c>
      <c r="C3" s="7">
        <v>3.92</v>
      </c>
      <c r="D3" s="8">
        <v>7298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</row>
    <row r="4" spans="1:31" x14ac:dyDescent="0.35">
      <c r="B4" s="6">
        <v>1</v>
      </c>
      <c r="C4" s="7">
        <v>3.61</v>
      </c>
      <c r="D4" s="8">
        <v>6855</v>
      </c>
      <c r="G4" s="7">
        <v>3.92</v>
      </c>
      <c r="H4" s="7">
        <v>3.61</v>
      </c>
      <c r="I4" s="7">
        <v>3.32</v>
      </c>
      <c r="J4" s="7">
        <v>3.07</v>
      </c>
      <c r="K4" s="7">
        <v>3.06</v>
      </c>
      <c r="L4" s="7">
        <v>3.11</v>
      </c>
      <c r="M4" s="7">
        <v>3.21</v>
      </c>
      <c r="N4" s="7">
        <v>3.26</v>
      </c>
      <c r="O4" s="7">
        <v>3.42</v>
      </c>
      <c r="P4" s="7">
        <v>3.42</v>
      </c>
      <c r="Q4" s="7">
        <v>3.45</v>
      </c>
      <c r="R4" s="7">
        <v>3.58</v>
      </c>
      <c r="S4" s="7">
        <v>3.66</v>
      </c>
      <c r="T4" s="7">
        <v>3.78</v>
      </c>
      <c r="U4" s="7">
        <v>3.82</v>
      </c>
      <c r="V4" s="7">
        <v>3.97</v>
      </c>
      <c r="W4" s="7">
        <v>4.07</v>
      </c>
      <c r="X4" s="7">
        <v>4.25</v>
      </c>
      <c r="Y4" s="7">
        <v>4.41</v>
      </c>
      <c r="Z4" s="7">
        <v>4.49</v>
      </c>
      <c r="AA4" s="7">
        <v>4.7</v>
      </c>
      <c r="AB4" s="7">
        <v>4.58</v>
      </c>
      <c r="AC4" s="7">
        <v>4.6900000000000004</v>
      </c>
      <c r="AD4" s="7">
        <v>4.71</v>
      </c>
      <c r="AE4" s="7">
        <v>4.78</v>
      </c>
    </row>
    <row r="5" spans="1:31" x14ac:dyDescent="0.35">
      <c r="B5" s="6">
        <v>1</v>
      </c>
      <c r="C5" s="7">
        <v>3.32</v>
      </c>
      <c r="D5" s="8">
        <v>6636</v>
      </c>
      <c r="G5" s="8">
        <v>7298</v>
      </c>
      <c r="H5" s="8">
        <v>6855</v>
      </c>
      <c r="I5" s="8">
        <v>6636</v>
      </c>
      <c r="J5" s="8">
        <v>6506</v>
      </c>
      <c r="K5" s="8">
        <v>6450</v>
      </c>
      <c r="L5" s="8">
        <v>6402</v>
      </c>
      <c r="M5" s="8">
        <v>6368</v>
      </c>
      <c r="N5" s="8">
        <v>6340</v>
      </c>
      <c r="O5" s="8">
        <v>6349</v>
      </c>
      <c r="P5" s="8">
        <v>6352</v>
      </c>
      <c r="Q5" s="8">
        <v>6361</v>
      </c>
      <c r="R5" s="8">
        <v>6369</v>
      </c>
      <c r="S5" s="8">
        <v>6546</v>
      </c>
      <c r="T5" s="8">
        <v>6672</v>
      </c>
      <c r="U5" s="8">
        <v>6890</v>
      </c>
      <c r="V5" s="8">
        <v>7115</v>
      </c>
      <c r="W5" s="8">
        <v>7327</v>
      </c>
      <c r="X5" s="8">
        <v>7546</v>
      </c>
      <c r="Y5" s="8">
        <v>7931</v>
      </c>
      <c r="Z5" s="8">
        <v>8097</v>
      </c>
      <c r="AA5" s="8">
        <v>8468</v>
      </c>
      <c r="AB5" s="8">
        <v>8717</v>
      </c>
      <c r="AC5" s="8">
        <v>8991</v>
      </c>
      <c r="AD5" s="8">
        <v>9179</v>
      </c>
      <c r="AE5" s="8">
        <v>9318</v>
      </c>
    </row>
    <row r="6" spans="1:31" x14ac:dyDescent="0.35">
      <c r="B6" s="6">
        <v>1</v>
      </c>
      <c r="C6" s="7">
        <v>3.07</v>
      </c>
      <c r="D6" s="8">
        <v>6506</v>
      </c>
    </row>
    <row r="7" spans="1:31" x14ac:dyDescent="0.35">
      <c r="B7" s="6">
        <v>1</v>
      </c>
      <c r="C7" s="7">
        <v>3.06</v>
      </c>
      <c r="D7" s="8">
        <v>6450</v>
      </c>
    </row>
    <row r="8" spans="1:31" x14ac:dyDescent="0.35">
      <c r="B8" s="6">
        <v>1</v>
      </c>
      <c r="C8" s="7">
        <v>3.11</v>
      </c>
      <c r="D8" s="8">
        <v>6402</v>
      </c>
    </row>
    <row r="9" spans="1:31" x14ac:dyDescent="0.35">
      <c r="B9" s="6">
        <v>1</v>
      </c>
      <c r="C9" s="7">
        <v>3.21</v>
      </c>
      <c r="D9" s="8">
        <v>6368</v>
      </c>
      <c r="G9" t="s">
        <v>13</v>
      </c>
    </row>
    <row r="10" spans="1:31" x14ac:dyDescent="0.35">
      <c r="B10" s="6">
        <v>1</v>
      </c>
      <c r="C10" s="7">
        <v>3.26</v>
      </c>
      <c r="D10" s="8">
        <v>6340</v>
      </c>
      <c r="F10" s="5" t="s">
        <v>10</v>
      </c>
      <c r="G10" s="6" cm="1">
        <f t="array" ref="G10:I12">MMULT(G3:AE5,B3:D27)</f>
        <v>25</v>
      </c>
      <c r="H10" s="6">
        <v>96.339999999999989</v>
      </c>
      <c r="I10" s="6">
        <v>181083</v>
      </c>
    </row>
    <row r="11" spans="1:31" x14ac:dyDescent="0.35">
      <c r="B11" s="6">
        <v>1</v>
      </c>
      <c r="C11" s="7">
        <v>3.42</v>
      </c>
      <c r="D11" s="8">
        <v>6349</v>
      </c>
      <c r="G11" s="6">
        <v>96.339999999999989</v>
      </c>
      <c r="H11" s="6">
        <v>379.2928</v>
      </c>
      <c r="I11" s="6">
        <v>710932.32</v>
      </c>
    </row>
    <row r="12" spans="1:31" x14ac:dyDescent="0.35">
      <c r="B12" s="6">
        <v>1</v>
      </c>
      <c r="C12" s="7">
        <v>3.42</v>
      </c>
      <c r="D12" s="8">
        <v>6352</v>
      </c>
      <c r="G12" s="6">
        <v>181083</v>
      </c>
      <c r="H12" s="6">
        <v>710932.32</v>
      </c>
      <c r="I12" s="6">
        <v>1335796275</v>
      </c>
    </row>
    <row r="13" spans="1:31" x14ac:dyDescent="0.35">
      <c r="B13" s="6">
        <v>1</v>
      </c>
      <c r="C13" s="7">
        <v>3.45</v>
      </c>
      <c r="D13" s="8">
        <v>6361</v>
      </c>
    </row>
    <row r="14" spans="1:31" x14ac:dyDescent="0.35">
      <c r="B14" s="6">
        <v>1</v>
      </c>
      <c r="C14" s="7">
        <v>3.58</v>
      </c>
      <c r="D14" s="8">
        <v>6369</v>
      </c>
    </row>
    <row r="15" spans="1:31" x14ac:dyDescent="0.35">
      <c r="B15" s="6">
        <v>1</v>
      </c>
      <c r="C15" s="7">
        <v>3.66</v>
      </c>
      <c r="D15" s="8">
        <v>6546</v>
      </c>
    </row>
    <row r="16" spans="1:31" x14ac:dyDescent="0.35">
      <c r="B16" s="6">
        <v>1</v>
      </c>
      <c r="C16" s="7">
        <v>3.78</v>
      </c>
      <c r="D16" s="8">
        <v>6672</v>
      </c>
      <c r="F16" s="5" t="s">
        <v>14</v>
      </c>
      <c r="G16" s="6" cm="1">
        <f t="array" ref="G16:I18">MINVERSE(G10:I12)</f>
        <v>2.2187404160787096</v>
      </c>
      <c r="H16" s="6">
        <v>8.4824257764210986E-2</v>
      </c>
      <c r="I16" s="6">
        <v>-3.4592136973085196E-4</v>
      </c>
    </row>
    <row r="17" spans="2:38" x14ac:dyDescent="0.35">
      <c r="B17" s="6">
        <v>1</v>
      </c>
      <c r="C17" s="7">
        <v>3.82</v>
      </c>
      <c r="D17" s="8">
        <v>6890</v>
      </c>
      <c r="G17" s="6">
        <v>8.4824257764178804E-2</v>
      </c>
      <c r="H17" s="6">
        <v>1.0864857135399166</v>
      </c>
      <c r="I17" s="6">
        <v>-5.8974415095033785E-4</v>
      </c>
    </row>
    <row r="18" spans="2:38" x14ac:dyDescent="0.35">
      <c r="B18" s="6">
        <v>1</v>
      </c>
      <c r="C18" s="7">
        <v>3.97</v>
      </c>
      <c r="D18" s="8">
        <v>7115</v>
      </c>
      <c r="G18" s="6">
        <v>-3.4592136973083461E-4</v>
      </c>
      <c r="H18" s="6">
        <v>-5.897441509503423E-4</v>
      </c>
      <c r="I18" s="6">
        <v>3.6151370225712431E-7</v>
      </c>
    </row>
    <row r="19" spans="2:38" x14ac:dyDescent="0.35">
      <c r="B19" s="6">
        <v>1</v>
      </c>
      <c r="C19" s="7">
        <v>4.07</v>
      </c>
      <c r="D19" s="8">
        <v>7327</v>
      </c>
    </row>
    <row r="20" spans="2:38" x14ac:dyDescent="0.35">
      <c r="B20" s="6">
        <v>1</v>
      </c>
      <c r="C20" s="7">
        <v>4.25</v>
      </c>
      <c r="D20" s="8">
        <v>7546</v>
      </c>
    </row>
    <row r="21" spans="2:38" x14ac:dyDescent="0.35">
      <c r="B21" s="6">
        <v>1</v>
      </c>
      <c r="C21" s="7">
        <v>4.41</v>
      </c>
      <c r="D21" s="8">
        <v>7931</v>
      </c>
    </row>
    <row r="22" spans="2:38" x14ac:dyDescent="0.35">
      <c r="B22" s="6">
        <v>1</v>
      </c>
      <c r="C22" s="7">
        <v>4.49</v>
      </c>
      <c r="D22" s="8">
        <v>8097</v>
      </c>
      <c r="F22" s="5" t="s">
        <v>124</v>
      </c>
      <c r="M22" s="36" t="s">
        <v>125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2:38" x14ac:dyDescent="0.35">
      <c r="B23" s="6">
        <v>1</v>
      </c>
      <c r="C23" s="7">
        <v>4.7</v>
      </c>
      <c r="D23" s="8">
        <v>8468</v>
      </c>
      <c r="G23" s="6" cm="1">
        <f t="array" ref="G23:I47">MMULT(B3:D27,_xlfn.ANCHORARRAY(G16))</f>
        <v>2.6717350218659508E-2</v>
      </c>
      <c r="H23" s="6">
        <v>3.9895441205086257E-2</v>
      </c>
      <c r="I23" s="6">
        <v>-1.9391442383683184E-5</v>
      </c>
      <c r="M23" s="2"/>
      <c r="N23" s="9" cm="1">
        <f t="array" ref="N23:AL47">MMULT(_xlfn.ANCHORARRAY(G23),G3:AE5)</f>
        <v>4.158873322647777E-2</v>
      </c>
      <c r="O23" s="6">
        <v>3.7811555428872656E-2</v>
      </c>
      <c r="P23" s="6">
        <v>3.0488603361424255E-2</v>
      </c>
      <c r="Q23" s="6">
        <v>2.3035630570031496E-2</v>
      </c>
      <c r="R23" s="6">
        <v>2.3722596931466916E-2</v>
      </c>
      <c r="S23" s="6">
        <v>2.6648158226138016E-2</v>
      </c>
      <c r="T23" s="6">
        <v>3.1297011387691864E-2</v>
      </c>
      <c r="U23" s="6">
        <v>3.3834743834689304E-2</v>
      </c>
      <c r="V23" s="6">
        <v>4.0043491446049975E-2</v>
      </c>
      <c r="W23" s="6">
        <v>3.9985317118898925E-2</v>
      </c>
      <c r="X23" s="6">
        <v>4.1007657373598363E-2</v>
      </c>
      <c r="Y23" s="6">
        <v>4.603893319119011E-2</v>
      </c>
      <c r="Z23" s="6">
        <v>4.5798283185685074E-2</v>
      </c>
      <c r="AA23" s="6">
        <v>4.8142414389951371E-2</v>
      </c>
      <c r="AB23" s="6">
        <v>4.5510897598511846E-2</v>
      </c>
      <c r="AC23" s="6">
        <v>4.7132139242946097E-2</v>
      </c>
      <c r="AD23" s="6">
        <v>4.7010697578113908E-2</v>
      </c>
      <c r="AE23" s="6">
        <v>4.9945151113002795E-2</v>
      </c>
      <c r="AF23" s="6">
        <v>4.8862716388098554E-2</v>
      </c>
      <c r="AG23" s="6">
        <v>4.8835372248814068E-2</v>
      </c>
      <c r="AH23" s="6">
        <v>5.0019189777535722E-2</v>
      </c>
      <c r="AI23" s="6">
        <v>4.0403267679388233E-2</v>
      </c>
      <c r="AJ23" s="6">
        <v>3.9478510998818578E-2</v>
      </c>
      <c r="AK23" s="6">
        <v>3.6630828654787811E-2</v>
      </c>
      <c r="AL23" s="6">
        <v>3.6728099047811907E-2</v>
      </c>
    </row>
    <row r="24" spans="2:38" x14ac:dyDescent="0.35">
      <c r="B24" s="6">
        <v>1</v>
      </c>
      <c r="C24" s="7">
        <v>4.58</v>
      </c>
      <c r="D24" s="8">
        <v>8717</v>
      </c>
      <c r="G24" s="6">
        <v>0.15366499710252413</v>
      </c>
      <c r="H24" s="6">
        <v>-3.5658471121286617E-2</v>
      </c>
      <c r="I24" s="6">
        <v>3.2786743110156669E-6</v>
      </c>
      <c r="M24" s="2"/>
      <c r="N24" s="6">
        <v>3.7811555428872927E-2</v>
      </c>
      <c r="O24" s="9">
        <v>4.741322875669185E-2</v>
      </c>
      <c r="P24" s="6">
        <v>5.7036155707752528E-2</v>
      </c>
      <c r="Q24" s="6">
        <v>6.5524545827642139E-2</v>
      </c>
      <c r="R24" s="6">
        <v>6.5697524777438121E-2</v>
      </c>
      <c r="S24" s="6">
        <v>6.3757224854445044E-2</v>
      </c>
      <c r="T24" s="6">
        <v>6.0079902815741854E-2</v>
      </c>
      <c r="U24" s="6">
        <v>5.820517637896909E-2</v>
      </c>
      <c r="V24" s="6">
        <v>5.2529329068362371E-2</v>
      </c>
      <c r="W24" s="6">
        <v>5.2539165091295414E-2</v>
      </c>
      <c r="X24" s="6">
        <v>5.1498919026455953E-2</v>
      </c>
      <c r="Y24" s="6">
        <v>4.6889547175176821E-2</v>
      </c>
      <c r="Z24" s="6">
        <v>4.4617194838523659E-2</v>
      </c>
      <c r="AA24" s="6">
        <v>4.0751291267157264E-2</v>
      </c>
      <c r="AB24" s="6">
        <v>4.0039703422107213E-2</v>
      </c>
      <c r="AC24" s="6">
        <v>3.5428634473892703E-2</v>
      </c>
      <c r="AD24" s="6">
        <v>3.2557866315699374E-2</v>
      </c>
      <c r="AE24" s="6">
        <v>2.6857371187980227E-2</v>
      </c>
      <c r="AF24" s="6">
        <v>2.2414305418315395E-2</v>
      </c>
      <c r="AG24" s="6">
        <v>2.0105887664241064E-2</v>
      </c>
      <c r="AH24" s="6">
        <v>1.3833996898157688E-2</v>
      </c>
      <c r="AI24" s="6">
        <v>1.8929403336154987E-2</v>
      </c>
      <c r="AJ24" s="6">
        <v>1.5905328274031742E-2</v>
      </c>
      <c r="AK24" s="6">
        <v>1.5808549622076968E-2</v>
      </c>
      <c r="AL24" s="6">
        <v>1.3768192372818074E-2</v>
      </c>
    </row>
    <row r="25" spans="2:38" x14ac:dyDescent="0.35">
      <c r="B25" s="6">
        <v>1</v>
      </c>
      <c r="C25" s="7">
        <v>4.6900000000000004</v>
      </c>
      <c r="D25" s="8">
        <v>8991</v>
      </c>
      <c r="G25" s="6">
        <v>0.20482274232196485</v>
      </c>
      <c r="H25" s="6">
        <v>-0.22158535898973764</v>
      </c>
      <c r="I25" s="6">
        <v>9.5132977292303883E-5</v>
      </c>
      <c r="M25" s="2"/>
      <c r="N25" s="6">
        <v>3.0488603361427113E-2</v>
      </c>
      <c r="O25" s="6">
        <v>5.703615570775511E-2</v>
      </c>
      <c r="P25" s="9">
        <v>0.10046178778776449</v>
      </c>
      <c r="Q25" s="6">
        <v>0.1434908404871994</v>
      </c>
      <c r="R25" s="6">
        <v>0.14037924734872775</v>
      </c>
      <c r="S25" s="6">
        <v>0.12473359648921023</v>
      </c>
      <c r="T25" s="6">
        <v>9.9340539362298141E-2</v>
      </c>
      <c r="U25" s="6">
        <v>8.5597548048626848E-2</v>
      </c>
      <c r="V25" s="6">
        <v>5.1000087405899563E-2</v>
      </c>
      <c r="W25" s="6">
        <v>5.1285486337776409E-2</v>
      </c>
      <c r="X25" s="6">
        <v>4.5494122363714973E-2</v>
      </c>
      <c r="Y25" s="6">
        <v>1.7449089513387528E-2</v>
      </c>
      <c r="Z25" s="6">
        <v>1.6560797774946345E-2</v>
      </c>
      <c r="AA25" s="6">
        <v>1.9573098350080809E-3</v>
      </c>
      <c r="AB25" s="6">
        <v>1.3832884525140865E-2</v>
      </c>
      <c r="AC25" s="6">
        <v>2.0000005674485344E-3</v>
      </c>
      <c r="AD25" s="6">
        <v>9.6558544431246673E-6</v>
      </c>
      <c r="AE25" s="6">
        <v>-1.9041586736694982E-2</v>
      </c>
      <c r="AF25" s="6">
        <v>-1.786904791751609E-2</v>
      </c>
      <c r="AG25" s="6">
        <v>-1.9803802406172633E-2</v>
      </c>
      <c r="AH25" s="6">
        <v>-3.1042393218572717E-2</v>
      </c>
      <c r="AI25" s="6">
        <v>1.9235961205979479E-2</v>
      </c>
      <c r="AJ25" s="6">
        <v>2.0928007495199408E-2</v>
      </c>
      <c r="AK25" s="6">
        <v>3.4381300046357977E-2</v>
      </c>
      <c r="AL25" s="6">
        <v>3.2093808760706555E-2</v>
      </c>
    </row>
    <row r="26" spans="2:38" x14ac:dyDescent="0.35">
      <c r="B26" s="6">
        <v>1</v>
      </c>
      <c r="C26" s="7">
        <v>4.71</v>
      </c>
      <c r="D26" s="8">
        <v>9179</v>
      </c>
      <c r="G26" s="6">
        <v>0.22858645594592897</v>
      </c>
      <c r="H26" s="6">
        <v>-0.41654004775117226</v>
      </c>
      <c r="I26" s="6">
        <v>1.9557223373646137E-4</v>
      </c>
      <c r="M26" s="2"/>
      <c r="N26" s="6">
        <v>2.3035630570028998E-2</v>
      </c>
      <c r="O26" s="6">
        <v>6.5524545827639891E-2</v>
      </c>
      <c r="P26" s="6">
        <v>0.14349084048719485</v>
      </c>
      <c r="Q26" s="9">
        <v>0.22220146203924807</v>
      </c>
      <c r="R26" s="6">
        <v>0.21541481742751767</v>
      </c>
      <c r="S26" s="6">
        <v>0.18520034782060901</v>
      </c>
      <c r="T26" s="6">
        <v>0.13689688709845216</v>
      </c>
      <c r="U26" s="6">
        <v>0.11059386216627254</v>
      </c>
      <c r="V26" s="6">
        <v>4.5707604629713128E-2</v>
      </c>
      <c r="W26" s="6">
        <v>4.6294321330922594E-2</v>
      </c>
      <c r="X26" s="6">
        <v>3.5558270002015391E-2</v>
      </c>
      <c r="Y26" s="6">
        <v>-1.7027358335745424E-2</v>
      </c>
      <c r="Z26" s="6">
        <v>-1.5734276784485468E-2</v>
      </c>
      <c r="AA26" s="6">
        <v>-4.1076981063831841E-2</v>
      </c>
      <c r="AB26" s="6">
        <v>-1.5103836019330075E-2</v>
      </c>
      <c r="AC26" s="6">
        <v>-3.3581090591302321E-2</v>
      </c>
      <c r="AD26" s="6">
        <v>-3.3773781814289805E-2</v>
      </c>
      <c r="AE26" s="6">
        <v>-6.5920671221215699E-2</v>
      </c>
      <c r="AF26" s="6">
        <v>-5.7271768872865669E-2</v>
      </c>
      <c r="AG26" s="6">
        <v>-5.8129981892707017E-2</v>
      </c>
      <c r="AH26" s="6">
        <v>-7.3046093204225837E-2</v>
      </c>
      <c r="AI26" s="6">
        <v>2.5636198726293635E-2</v>
      </c>
      <c r="AJ26" s="6">
        <v>3.3403585517455037E-2</v>
      </c>
      <c r="AK26" s="6">
        <v>6.1840364504886614E-2</v>
      </c>
      <c r="AL26" s="6">
        <v>5.9867101651672305E-2</v>
      </c>
    </row>
    <row r="27" spans="2:38" x14ac:dyDescent="0.35">
      <c r="B27" s="6">
        <v>1</v>
      </c>
      <c r="C27" s="7">
        <v>4.78</v>
      </c>
      <c r="D27" s="8">
        <v>9318</v>
      </c>
      <c r="E27" t="s">
        <v>11</v>
      </c>
      <c r="G27" s="6">
        <v>0.24710981007321342</v>
      </c>
      <c r="H27" s="6">
        <v>-0.39437923243335193</v>
      </c>
      <c r="I27" s="6">
        <v>1.8122490791956615E-4</v>
      </c>
      <c r="M27" s="2"/>
      <c r="N27" s="6">
        <v>2.372259693146761E-2</v>
      </c>
      <c r="O27" s="6">
        <v>6.5697524777438954E-2</v>
      </c>
      <c r="P27" s="6">
        <v>0.14037924734872598</v>
      </c>
      <c r="Q27" s="6">
        <v>0.21541481742752033</v>
      </c>
      <c r="R27" s="9">
        <v>0.20921001490835822</v>
      </c>
      <c r="S27" s="6">
        <v>0.1807922577065515</v>
      </c>
      <c r="T27" s="6">
        <v>0.13519268759395109</v>
      </c>
      <c r="U27" s="6">
        <v>0.11039942855053564</v>
      </c>
      <c r="V27" s="6">
        <v>4.892977553247535E-2</v>
      </c>
      <c r="W27" s="6">
        <v>4.9473450256234175E-2</v>
      </c>
      <c r="X27" s="6">
        <v>3.9273097454509465E-2</v>
      </c>
      <c r="Y27" s="6">
        <v>-1.0546403498469914E-2</v>
      </c>
      <c r="Z27" s="6">
        <v>-1.0019933391374636E-2</v>
      </c>
      <c r="AA27" s="6">
        <v>-3.4511102885511402E-2</v>
      </c>
      <c r="AB27" s="6">
        <v>-1.0779242256380162E-2</v>
      </c>
      <c r="AC27" s="6">
        <v>-2.9160522839480674E-2</v>
      </c>
      <c r="AD27" s="6">
        <v>-3.0178765603867896E-2</v>
      </c>
      <c r="AE27" s="6">
        <v>-6.1478772607486132E-2</v>
      </c>
      <c r="AF27" s="6">
        <v>-5.4807860247789719E-2</v>
      </c>
      <c r="AG27" s="6">
        <v>-5.6274864127809687E-2</v>
      </c>
      <c r="AH27" s="6">
        <v>-7.1860062100654654E-2</v>
      </c>
      <c r="AI27" s="6">
        <v>2.059044786331965E-2</v>
      </c>
      <c r="AJ27" s="6">
        <v>2.6864357065611966E-2</v>
      </c>
      <c r="AK27" s="6">
        <v>5.3047055105823526E-2</v>
      </c>
      <c r="AL27" s="6">
        <v>5.0630771036308531E-2</v>
      </c>
    </row>
    <row r="28" spans="2:38" x14ac:dyDescent="0.35">
      <c r="G28" s="6">
        <v>0.2679552487085024</v>
      </c>
      <c r="H28" s="6">
        <v>-0.31174722751073958</v>
      </c>
      <c r="I28" s="6">
        <v>1.3438504266370709E-4</v>
      </c>
      <c r="M28" s="2"/>
      <c r="N28" s="6">
        <v>2.664815822613753E-2</v>
      </c>
      <c r="O28" s="6">
        <v>6.3757224854444572E-2</v>
      </c>
      <c r="P28" s="6">
        <v>0.12473359648920734</v>
      </c>
      <c r="Q28" s="6">
        <v>0.18520034782061023</v>
      </c>
      <c r="R28" s="6">
        <v>0.18079225770655005</v>
      </c>
      <c r="S28" s="9">
        <v>0.15875441428315518</v>
      </c>
      <c r="T28" s="6">
        <v>0.1230106000815151</v>
      </c>
      <c r="U28" s="6">
        <v>0.10366045751139441</v>
      </c>
      <c r="V28" s="6">
        <v>5.4990366493649301E-2</v>
      </c>
      <c r="W28" s="6">
        <v>5.5393521621640462E-2</v>
      </c>
      <c r="X28" s="6">
        <v>4.7250570180291551E-2</v>
      </c>
      <c r="Y28" s="6">
        <v>7.7985109452052281E-3</v>
      </c>
      <c r="Z28" s="6">
        <v>6.6448852958219673E-3</v>
      </c>
      <c r="AA28" s="6">
        <v>-1.3832266629839385E-2</v>
      </c>
      <c r="AB28" s="6">
        <v>2.9937835704192395E-3</v>
      </c>
      <c r="AC28" s="6">
        <v>-1.3531665956857952E-2</v>
      </c>
      <c r="AD28" s="6">
        <v>-1.6216759663225888E-2</v>
      </c>
      <c r="AE28" s="6">
        <v>-4.2900936271807133E-2</v>
      </c>
      <c r="AF28" s="6">
        <v>-4.1042251247998429E-2</v>
      </c>
      <c r="AG28" s="6">
        <v>-4.3674112366682172E-2</v>
      </c>
      <c r="AH28" s="6">
        <v>-5.9284179315702179E-2</v>
      </c>
      <c r="AI28" s="6">
        <v>1.1587363608849932E-2</v>
      </c>
      <c r="AJ28" s="6">
        <v>1.4116670272524168E-2</v>
      </c>
      <c r="AK28" s="6">
        <v>3.3146113743086403E-2</v>
      </c>
      <c r="AL28" s="6">
        <v>3.0003328747589819E-2</v>
      </c>
    </row>
    <row r="29" spans="2:38" x14ac:dyDescent="0.35">
      <c r="G29" s="6">
        <v>0.2881990010557689</v>
      </c>
      <c r="H29" s="6">
        <v>-0.18304735502443625</v>
      </c>
      <c r="I29" s="6">
        <v>6.3119161691931047E-5</v>
      </c>
      <c r="M29" s="2"/>
      <c r="N29" s="6">
        <v>3.1297011387691587E-2</v>
      </c>
      <c r="O29" s="6">
        <v>6.0079902815741382E-2</v>
      </c>
      <c r="P29" s="6">
        <v>9.9340539362294922E-2</v>
      </c>
      <c r="Q29" s="6">
        <v>0.13689688709845299</v>
      </c>
      <c r="R29" s="6">
        <v>0.1351926875939492</v>
      </c>
      <c r="S29" s="6">
        <v>0.12301060008151476</v>
      </c>
      <c r="T29" s="9">
        <v>0.10255981308154549</v>
      </c>
      <c r="U29" s="6">
        <v>9.1640108802949594E-2</v>
      </c>
      <c r="V29" s="6">
        <v>6.2920604454267115E-2</v>
      </c>
      <c r="W29" s="6">
        <v>6.3109961939342929E-2</v>
      </c>
      <c r="X29" s="6">
        <v>5.8186613743837157E-2</v>
      </c>
      <c r="Y29" s="6">
        <v>3.4895410884195954E-2</v>
      </c>
      <c r="Z29" s="6">
        <v>3.1423714101712852E-2</v>
      </c>
      <c r="AA29" s="6">
        <v>1.7411045871963848E-2</v>
      </c>
      <c r="AB29" s="6">
        <v>2.3849128919827323E-2</v>
      </c>
      <c r="AC29" s="6">
        <v>1.0593837046846355E-2</v>
      </c>
      <c r="AD29" s="6">
        <v>5.6703638230921061E-3</v>
      </c>
      <c r="AE29" s="6">
        <v>-1.3455063670773482E-2</v>
      </c>
      <c r="AF29" s="6">
        <v>-1.8441763223289831E-2</v>
      </c>
      <c r="AG29" s="6">
        <v>-2.2607770784384251E-2</v>
      </c>
      <c r="AH29" s="6">
        <v>-3.7630506351809423E-2</v>
      </c>
      <c r="AI29" s="6">
        <v>5.1847512413827346E-5</v>
      </c>
      <c r="AJ29" s="6">
        <v>-2.7887112366851152E-3</v>
      </c>
      <c r="AK29" s="6">
        <v>5.4167440609093065E-3</v>
      </c>
      <c r="AL29" s="6">
        <v>1.3769926843770763E-3</v>
      </c>
    </row>
    <row r="30" spans="2:38" x14ac:dyDescent="0.35">
      <c r="G30" s="6">
        <v>0.30212601229644109</v>
      </c>
      <c r="H30" s="6">
        <v>-0.11221023312083123</v>
      </c>
      <c r="I30" s="6">
        <v>2.3509570481215335E-5</v>
      </c>
      <c r="M30" s="2"/>
      <c r="N30" s="6">
        <v>3.3834743834692177E-2</v>
      </c>
      <c r="O30" s="6">
        <v>5.820517637897149E-2</v>
      </c>
      <c r="P30" s="6">
        <v>8.5597548048626376E-2</v>
      </c>
      <c r="Q30" s="6">
        <v>0.1105938621662762</v>
      </c>
      <c r="R30" s="6">
        <v>0.11039942855053644</v>
      </c>
      <c r="S30" s="6">
        <v>0.10366045751139655</v>
      </c>
      <c r="T30" s="6">
        <v>9.1640108802952092E-2</v>
      </c>
      <c r="U30" s="9">
        <v>8.5371329173436539E-2</v>
      </c>
      <c r="V30" s="6">
        <v>6.7629278008434462E-2</v>
      </c>
      <c r="W30" s="6">
        <v>6.7699806719878103E-2</v>
      </c>
      <c r="X30" s="6">
        <v>6.4545085860584078E-2</v>
      </c>
      <c r="Y30" s="6">
        <v>5.0145832118725781E-2</v>
      </c>
      <c r="Z30" s="6">
        <v>4.5330207444234355E-2</v>
      </c>
      <c r="AA30" s="6">
        <v>3.4827185350367829E-2</v>
      </c>
      <c r="AB30" s="6">
        <v>3.5463862390439471E-2</v>
      </c>
      <c r="AC30" s="6">
        <v>2.3921980780588187E-2</v>
      </c>
      <c r="AD30" s="6">
        <v>1.7684986410522713E-2</v>
      </c>
      <c r="AE30" s="6">
        <v>2.635740384159313E-3</v>
      </c>
      <c r="AF30" s="6">
        <v>-6.2667122799058284E-3</v>
      </c>
      <c r="AG30" s="6">
        <v>-1.134094222969062E-2</v>
      </c>
      <c r="AH30" s="6">
        <v>-2.6183040536534224E-2</v>
      </c>
      <c r="AI30" s="6">
        <v>-6.8639295122118194E-3</v>
      </c>
      <c r="AJ30" s="6">
        <v>-1.2765432843650365E-2</v>
      </c>
      <c r="AK30" s="6">
        <v>-1.0589838255598366E-2</v>
      </c>
      <c r="AL30" s="6">
        <v>-1.517672427716768E-2</v>
      </c>
    </row>
    <row r="31" spans="2:38" x14ac:dyDescent="0.35">
      <c r="G31" s="6">
        <v>0.31258460121113218</v>
      </c>
      <c r="H31" s="6">
        <v>5.6319783687002634E-2</v>
      </c>
      <c r="I31" s="6">
        <v>-6.7595870350525313E-5</v>
      </c>
      <c r="M31" s="2"/>
      <c r="N31" s="6">
        <v>4.004349144604874E-2</v>
      </c>
      <c r="O31" s="6">
        <v>5.2529329068360719E-2</v>
      </c>
      <c r="P31" s="6">
        <v>5.1000087405894956E-2</v>
      </c>
      <c r="Q31" s="6">
        <v>4.5707604629712573E-2</v>
      </c>
      <c r="R31" s="6">
        <v>4.892977553247202E-2</v>
      </c>
      <c r="S31" s="6">
        <v>5.4990366493647358E-2</v>
      </c>
      <c r="T31" s="6">
        <v>6.2920604454265394E-2</v>
      </c>
      <c r="U31" s="6">
        <v>6.7629278008430216E-2</v>
      </c>
      <c r="V31" s="9">
        <v>7.6032080565195947E-2</v>
      </c>
      <c r="W31" s="6">
        <v>7.5829292954144367E-2</v>
      </c>
      <c r="X31" s="6">
        <v>7.6910523631599781E-2</v>
      </c>
      <c r="Y31" s="6">
        <v>8.3691328548105959E-2</v>
      </c>
      <c r="Z31" s="6">
        <v>7.6232442191023098E-2</v>
      </c>
      <c r="AA31" s="6">
        <v>7.4473736569297233E-2</v>
      </c>
      <c r="AB31" s="6">
        <v>6.1990628180362828E-2</v>
      </c>
      <c r="AC31" s="6">
        <v>5.522952490454508E-2</v>
      </c>
      <c r="AD31" s="6">
        <v>4.6531178758933922E-2</v>
      </c>
      <c r="AE31" s="6">
        <v>4.1865244215829378E-2</v>
      </c>
      <c r="AF31" s="6">
        <v>2.485199952079753E-2</v>
      </c>
      <c r="AG31" s="6">
        <v>1.81366677375705E-2</v>
      </c>
      <c r="AH31" s="6">
        <v>4.8857544117962837E-3</v>
      </c>
      <c r="AI31" s="6">
        <v>-1.8703991347924886E-2</v>
      </c>
      <c r="AJ31" s="6">
        <v>-3.103008361839843E-2</v>
      </c>
      <c r="AK31" s="6">
        <v>-4.261171157055732E-2</v>
      </c>
      <c r="AL31" s="6">
        <v>-4.8065152691190161E-2</v>
      </c>
    </row>
    <row r="32" spans="2:38" x14ac:dyDescent="0.35">
      <c r="G32" s="6">
        <v>0.31154683710193964</v>
      </c>
      <c r="H32" s="6">
        <v>5.4550551234151534E-2</v>
      </c>
      <c r="I32" s="6">
        <v>-6.6511329243754223E-5</v>
      </c>
      <c r="M32" s="2"/>
      <c r="N32" s="6">
        <v>3.9985317118895303E-2</v>
      </c>
      <c r="O32" s="6">
        <v>5.2539165091291529E-2</v>
      </c>
      <c r="P32" s="6">
        <v>5.1285486337769692E-2</v>
      </c>
      <c r="Q32" s="6">
        <v>4.6294321330919874E-2</v>
      </c>
      <c r="R32" s="6">
        <v>4.9473450256228624E-2</v>
      </c>
      <c r="S32" s="6">
        <v>5.5393521621636355E-2</v>
      </c>
      <c r="T32" s="6">
        <v>6.3109961939339154E-2</v>
      </c>
      <c r="U32" s="6">
        <v>6.7699806719871858E-2</v>
      </c>
      <c r="V32" s="6">
        <v>7.5829292954142313E-2</v>
      </c>
      <c r="W32" s="9">
        <v>7.5629758966411054E-2</v>
      </c>
      <c r="X32" s="6">
        <v>7.6667673540241843E-2</v>
      </c>
      <c r="Y32" s="6">
        <v>8.322715456673152E-2</v>
      </c>
      <c r="Z32" s="6">
        <v>7.5818693389319181E-2</v>
      </c>
      <c r="AA32" s="6">
        <v>7.3984332052704271E-2</v>
      </c>
      <c r="AB32" s="6">
        <v>6.1666884326931903E-2</v>
      </c>
      <c r="AC32" s="6">
        <v>5.4884417932209939E-2</v>
      </c>
      <c r="AD32" s="6">
        <v>4.6239071255949171E-2</v>
      </c>
      <c r="AE32" s="6">
        <v>4.149218937371435E-2</v>
      </c>
      <c r="AF32" s="6">
        <v>2.4613415812333228E-2</v>
      </c>
      <c r="AG32" s="6">
        <v>1.7936579256602081E-2</v>
      </c>
      <c r="AH32" s="6">
        <v>4.7164918663410438E-3</v>
      </c>
      <c r="AI32" s="6">
        <v>-1.8390895263451834E-2</v>
      </c>
      <c r="AJ32" s="6">
        <v>-3.0614438840483871E-2</v>
      </c>
      <c r="AK32" s="6">
        <v>-4.202755771362654E-2</v>
      </c>
      <c r="AL32" s="6">
        <v>-4.7454093892117855E-2</v>
      </c>
    </row>
    <row r="33" spans="7:38" x14ac:dyDescent="0.35">
      <c r="G33" s="6">
        <v>0.31097827250728738</v>
      </c>
      <c r="H33" s="6">
        <v>8.1837425281796161E-2</v>
      </c>
      <c r="I33" s="6">
        <v>-8.0950030451949762E-5</v>
      </c>
      <c r="M33" s="2"/>
      <c r="N33" s="6">
        <v>4.1007657373598905E-2</v>
      </c>
      <c r="O33" s="6">
        <v>5.1498919026455869E-2</v>
      </c>
      <c r="P33" s="6">
        <v>4.5494122363711975E-2</v>
      </c>
      <c r="Q33" s="6">
        <v>3.555827000201639E-2</v>
      </c>
      <c r="R33" s="6">
        <v>3.9273097454507688E-2</v>
      </c>
      <c r="S33" s="6">
        <v>4.7250570180290996E-2</v>
      </c>
      <c r="T33" s="6">
        <v>5.8186613743836935E-2</v>
      </c>
      <c r="U33" s="6">
        <v>6.4545085860581386E-2</v>
      </c>
      <c r="V33" s="6">
        <v>7.6910523631601113E-2</v>
      </c>
      <c r="W33" s="6">
        <v>7.6667673540245285E-2</v>
      </c>
      <c r="X33" s="9">
        <v>7.8394246024631631E-2</v>
      </c>
      <c r="Y33" s="6">
        <v>8.8385511067649691E-2</v>
      </c>
      <c r="Z33" s="6">
        <v>8.0604349700198141E-2</v>
      </c>
      <c r="AA33" s="6">
        <v>8.0225136897068006E-2</v>
      </c>
      <c r="AB33" s="6">
        <v>6.5851527269814802E-2</v>
      </c>
      <c r="AC33" s="6">
        <v>5.9913384210395493E-2</v>
      </c>
      <c r="AD33" s="6">
        <v>5.0935720282761832E-2</v>
      </c>
      <c r="AE33" s="6">
        <v>4.7938400164508121E-2</v>
      </c>
      <c r="AF33" s="6">
        <v>2.9866626485594905E-2</v>
      </c>
      <c r="AG33" s="6">
        <v>2.2975915453114948E-2</v>
      </c>
      <c r="AH33" s="6">
        <v>1.0129313464618872E-2</v>
      </c>
      <c r="AI33" s="6">
        <v>-1.9847735151732215E-2</v>
      </c>
      <c r="AJ33" s="6">
        <v>-3.3025926714568943E-2</v>
      </c>
      <c r="AK33" s="6">
        <v>-4.6607783933899638E-2</v>
      </c>
      <c r="AL33" s="6">
        <v>-5.2131218396994861E-2</v>
      </c>
    </row>
    <row r="34" spans="7:38" x14ac:dyDescent="0.35">
      <c r="G34" s="6">
        <v>0.31923805505878411</v>
      </c>
      <c r="H34" s="6">
        <v>0.21836261483438291</v>
      </c>
      <c r="I34" s="6">
        <v>-1.5472466045743675E-4</v>
      </c>
      <c r="M34" s="2"/>
      <c r="N34" s="6">
        <v>4.6038933191191678E-2</v>
      </c>
      <c r="O34" s="6">
        <v>4.6889547175177348E-2</v>
      </c>
      <c r="P34" s="6">
        <v>1.7449089513385196E-2</v>
      </c>
      <c r="Q34" s="6">
        <v>-1.702735833574387E-2</v>
      </c>
      <c r="R34" s="6">
        <v>-1.0546403498471246E-2</v>
      </c>
      <c r="S34" s="6">
        <v>7.7985109452047841E-3</v>
      </c>
      <c r="T34" s="6">
        <v>3.4895410884195899E-2</v>
      </c>
      <c r="U34" s="6">
        <v>5.0145832118723366E-2</v>
      </c>
      <c r="V34" s="6">
        <v>8.369132854810768E-2</v>
      </c>
      <c r="W34" s="6">
        <v>8.3227154566735351E-2</v>
      </c>
      <c r="X34" s="6">
        <v>8.8385511067649913E-2</v>
      </c>
      <c r="Y34" s="9">
        <v>0.11553485371246031</v>
      </c>
      <c r="Z34" s="6">
        <v>0.10561759799824455</v>
      </c>
      <c r="AA34" s="6">
        <v>0.1123258045607336</v>
      </c>
      <c r="AB34" s="6">
        <v>8.7330333174387542E-2</v>
      </c>
      <c r="AC34" s="6">
        <v>8.5271676796621731E-2</v>
      </c>
      <c r="AD34" s="6">
        <v>7.430631026308343E-2</v>
      </c>
      <c r="AE34" s="6">
        <v>7.9726880293093938E-2</v>
      </c>
      <c r="AF34" s="6">
        <v>5.5095904390481953E-2</v>
      </c>
      <c r="AG34" s="6">
        <v>4.6880619941298107E-2</v>
      </c>
      <c r="AH34" s="6">
        <v>3.5333920026809462E-2</v>
      </c>
      <c r="AI34" s="6">
        <v>-2.9396034207218369E-2</v>
      </c>
      <c r="AJ34" s="6">
        <v>-4.7770703540773951E-2</v>
      </c>
      <c r="AK34" s="6">
        <v>-7.2491687410084271E-2</v>
      </c>
      <c r="AL34" s="6">
        <v>-7.8713032175261155E-2</v>
      </c>
    </row>
    <row r="35" spans="7:38" x14ac:dyDescent="0.35">
      <c r="G35" s="6">
        <v>0.26479591323756058</v>
      </c>
      <c r="H35" s="6">
        <v>0.20089675719936473</v>
      </c>
      <c r="I35" s="6">
        <v>-1.3791626723395293E-4</v>
      </c>
      <c r="M35" s="2"/>
      <c r="N35" s="6">
        <v>4.5798283185681798E-2</v>
      </c>
      <c r="O35" s="6">
        <v>4.4617194838519891E-2</v>
      </c>
      <c r="P35" s="6">
        <v>1.6560797774939795E-2</v>
      </c>
      <c r="Q35" s="6">
        <v>-1.5734276784487466E-2</v>
      </c>
      <c r="R35" s="6">
        <v>-1.0019933391379743E-2</v>
      </c>
      <c r="S35" s="6">
        <v>6.6448852958181925E-3</v>
      </c>
      <c r="T35" s="6">
        <v>3.1423714101709077E-2</v>
      </c>
      <c r="U35" s="6">
        <v>4.5330207444227999E-2</v>
      </c>
      <c r="V35" s="6">
        <v>7.6232442191020766E-2</v>
      </c>
      <c r="W35" s="6">
        <v>7.5818693389318903E-2</v>
      </c>
      <c r="X35" s="6">
        <v>8.0604349700194255E-2</v>
      </c>
      <c r="Y35" s="6">
        <v>0.10561759799824011</v>
      </c>
      <c r="Z35" s="9">
        <v>9.7278159273779585E-2</v>
      </c>
      <c r="AA35" s="6">
        <v>0.10400832046622532</v>
      </c>
      <c r="AB35" s="6">
        <v>8.1978444497198155E-2</v>
      </c>
      <c r="AC35" s="6">
        <v>8.1081797949463463E-2</v>
      </c>
      <c r="AD35" s="6">
        <v>7.1933225015802016E-2</v>
      </c>
      <c r="AE35" s="6">
        <v>7.789097878745177E-2</v>
      </c>
      <c r="AF35" s="6">
        <v>5.6936697054278396E-2</v>
      </c>
      <c r="AG35" s="6">
        <v>5.0114337269391296E-2</v>
      </c>
      <c r="AH35" s="6">
        <v>4.1135721137461445E-2</v>
      </c>
      <c r="AI35" s="6">
        <v>-1.7313040267716628E-2</v>
      </c>
      <c r="AJ35" s="6">
        <v>-3.3003454197889637E-2</v>
      </c>
      <c r="AK35" s="6">
        <v>-5.4913777293885468E-2</v>
      </c>
      <c r="AL35" s="6">
        <v>-6.0021365435449336E-2</v>
      </c>
    </row>
    <row r="36" spans="7:38" x14ac:dyDescent="0.35">
      <c r="G36" s="6">
        <v>0.23138873158317708</v>
      </c>
      <c r="H36" s="6">
        <v>0.25696727980441159</v>
      </c>
      <c r="I36" s="6">
        <v>-1.6313483886359545E-4</v>
      </c>
      <c r="M36" s="2"/>
      <c r="N36" s="6">
        <v>4.8142414389950927E-2</v>
      </c>
      <c r="O36" s="6">
        <v>4.0751291267155931E-2</v>
      </c>
      <c r="P36" s="6">
        <v>1.9573098350040841E-3</v>
      </c>
      <c r="Q36" s="6">
        <v>-4.1076981063831397E-2</v>
      </c>
      <c r="R36" s="6">
        <v>-3.4511102885514067E-2</v>
      </c>
      <c r="S36" s="6">
        <v>-1.3832266629840939E-2</v>
      </c>
      <c r="T36" s="6">
        <v>1.7411045871962516E-2</v>
      </c>
      <c r="U36" s="6">
        <v>3.4827185350363665E-2</v>
      </c>
      <c r="V36" s="6">
        <v>7.4473736569297122E-2</v>
      </c>
      <c r="W36" s="6">
        <v>7.398433205270627E-2</v>
      </c>
      <c r="X36" s="6">
        <v>8.0225136897066562E-2</v>
      </c>
      <c r="Y36" s="6">
        <v>0.11232580456073116</v>
      </c>
      <c r="Z36" s="6">
        <v>0.10400832046622766</v>
      </c>
      <c r="AA36" s="9">
        <v>0.11428940434594392</v>
      </c>
      <c r="AB36" s="6">
        <v>8.9004700665856751E-2</v>
      </c>
      <c r="AC36" s="6">
        <v>9.0844453892209298E-2</v>
      </c>
      <c r="AD36" s="6">
        <v>8.1956596033568418E-2</v>
      </c>
      <c r="AE36" s="6">
        <v>9.2484176687235076E-2</v>
      </c>
      <c r="AF36" s="6">
        <v>7.0792028493456671E-2</v>
      </c>
      <c r="AG36" s="6">
        <v>6.4269027626452813E-2</v>
      </c>
      <c r="AH36" s="6">
        <v>5.7709131166985284E-2</v>
      </c>
      <c r="AI36" s="6">
        <v>-1.3747517286579303E-2</v>
      </c>
      <c r="AJ36" s="6">
        <v>-3.0180062356719217E-2</v>
      </c>
      <c r="AK36" s="6">
        <v>-5.5710066466986952E-2</v>
      </c>
      <c r="AL36" s="6">
        <v>-6.0398099482717793E-2</v>
      </c>
    </row>
    <row r="37" spans="7:38" x14ac:dyDescent="0.35">
      <c r="G37" s="6">
        <v>0.15937084329242213</v>
      </c>
      <c r="H37" s="6">
        <v>0.1718624834388347</v>
      </c>
      <c r="I37" s="6">
        <v>-1.0791461780955587E-4</v>
      </c>
      <c r="M37" s="2"/>
      <c r="N37" s="6">
        <v>4.5510897598515343E-2</v>
      </c>
      <c r="O37" s="6">
        <v>4.003970342210994E-2</v>
      </c>
      <c r="P37" s="6">
        <v>1.3832884525140532E-2</v>
      </c>
      <c r="Q37" s="6">
        <v>-1.5103836019325856E-2</v>
      </c>
      <c r="R37" s="6">
        <v>-1.0779242256379051E-2</v>
      </c>
      <c r="S37" s="6">
        <v>2.9937835704213489E-3</v>
      </c>
      <c r="T37" s="6">
        <v>2.384912891982971E-2</v>
      </c>
      <c r="U37" s="6">
        <v>3.5463862390438972E-2</v>
      </c>
      <c r="V37" s="6">
        <v>6.1990628180366492E-2</v>
      </c>
      <c r="W37" s="6">
        <v>6.1666884326937899E-2</v>
      </c>
      <c r="X37" s="6">
        <v>6.5851527269817023E-2</v>
      </c>
      <c r="Y37" s="6">
        <v>8.7330333174389096E-2</v>
      </c>
      <c r="Z37" s="6">
        <v>8.1978444497204483E-2</v>
      </c>
      <c r="AA37" s="6">
        <v>8.9004700665860526E-2</v>
      </c>
      <c r="AB37" s="9">
        <v>7.2353813320930715E-2</v>
      </c>
      <c r="AC37" s="6">
        <v>7.3852396829605871E-2</v>
      </c>
      <c r="AD37" s="6">
        <v>6.8160746197863498E-2</v>
      </c>
      <c r="AE37" s="6">
        <v>7.5462691916560964E-2</v>
      </c>
      <c r="AF37" s="6">
        <v>6.1413561410095574E-2</v>
      </c>
      <c r="AG37" s="6">
        <v>5.7248733528816098E-2</v>
      </c>
      <c r="AH37" s="6">
        <v>5.3303531843626129E-2</v>
      </c>
      <c r="AI37" s="6">
        <v>5.809293996386522E-3</v>
      </c>
      <c r="AJ37" s="6">
        <v>-4.8544381051599528E-3</v>
      </c>
      <c r="AK37" s="6">
        <v>-2.1705136584579732E-2</v>
      </c>
      <c r="AL37" s="6">
        <v>-2.4674894619389431E-2</v>
      </c>
    </row>
    <row r="38" spans="7:38" x14ac:dyDescent="0.35">
      <c r="G38" s="6">
        <v>9.4262173767611035E-2</v>
      </c>
      <c r="H38" s="6">
        <v>0.20214290650599498</v>
      </c>
      <c r="I38" s="6">
        <v>-1.1503565744425386E-4</v>
      </c>
      <c r="M38" s="2"/>
      <c r="N38" s="6">
        <v>4.713213924294668E-2</v>
      </c>
      <c r="O38" s="6">
        <v>3.5428634473892662E-2</v>
      </c>
      <c r="P38" s="6">
        <v>2.0000005674456478E-3</v>
      </c>
      <c r="Q38" s="6">
        <v>-3.3581090591299989E-2</v>
      </c>
      <c r="R38" s="6">
        <v>-2.9160522839481673E-2</v>
      </c>
      <c r="S38" s="6">
        <v>-1.3531665956857841E-2</v>
      </c>
      <c r="T38" s="6">
        <v>1.0593837046846355E-2</v>
      </c>
      <c r="U38" s="6">
        <v>2.392198078058505E-2</v>
      </c>
      <c r="V38" s="6">
        <v>5.5229524904546135E-2</v>
      </c>
      <c r="W38" s="6">
        <v>5.4884417932213325E-2</v>
      </c>
      <c r="X38" s="6">
        <v>5.9913384210394938E-2</v>
      </c>
      <c r="Y38" s="6">
        <v>8.5271676796620177E-2</v>
      </c>
      <c r="Z38" s="6">
        <v>8.1081797949466905E-2</v>
      </c>
      <c r="AA38" s="6">
        <v>9.0844453892210297E-2</v>
      </c>
      <c r="AB38" s="6">
        <v>7.3852396829602762E-2</v>
      </c>
      <c r="AC38" s="9">
        <v>7.8290809880544932E-2</v>
      </c>
      <c r="AD38" s="6">
        <v>7.4117541152962652E-2</v>
      </c>
      <c r="AE38" s="6">
        <v>8.5310455343750036E-2</v>
      </c>
      <c r="AF38" s="6">
        <v>7.3364592268671536E-2</v>
      </c>
      <c r="AG38" s="6">
        <v>7.0440105653404972E-2</v>
      </c>
      <c r="AH38" s="6">
        <v>7.0211887107845872E-2</v>
      </c>
      <c r="AI38" s="6">
        <v>1.7310859623507202E-2</v>
      </c>
      <c r="AJ38" s="6">
        <v>8.0268091994410984E-3</v>
      </c>
      <c r="AK38" s="6">
        <v>-9.5570362699586298E-3</v>
      </c>
      <c r="AL38" s="6">
        <v>-1.1396989199290442E-2</v>
      </c>
    </row>
    <row r="39" spans="7:38" x14ac:dyDescent="0.35">
      <c r="G39" s="6">
        <v>2.9409269161092322E-2</v>
      </c>
      <c r="H39" s="6">
        <v>0.18576571785851392</v>
      </c>
      <c r="I39" s="6">
        <v>-9.736916766077755E-5</v>
      </c>
      <c r="M39" s="2"/>
      <c r="N39" s="6">
        <v>4.701069757811227E-2</v>
      </c>
      <c r="O39" s="6">
        <v>3.2557866315697459E-2</v>
      </c>
      <c r="P39" s="6">
        <v>9.6558544386837752E-6</v>
      </c>
      <c r="Q39" s="6">
        <v>-3.3773781814288695E-2</v>
      </c>
      <c r="R39" s="6">
        <v>-3.0178765603870228E-2</v>
      </c>
      <c r="S39" s="6">
        <v>-1.6216759663227331E-2</v>
      </c>
      <c r="T39" s="6">
        <v>5.6703638230906073E-3</v>
      </c>
      <c r="U39" s="6">
        <v>1.7684986410517967E-2</v>
      </c>
      <c r="V39" s="6">
        <v>4.65311787589332E-2</v>
      </c>
      <c r="W39" s="6">
        <v>4.6239071255950948E-2</v>
      </c>
      <c r="X39" s="6">
        <v>5.0935720282759389E-2</v>
      </c>
      <c r="Y39" s="6">
        <v>7.4306310263079989E-2</v>
      </c>
      <c r="Z39" s="6">
        <v>7.1933225015803459E-2</v>
      </c>
      <c r="AA39" s="6">
        <v>8.1956596033567197E-2</v>
      </c>
      <c r="AB39" s="6">
        <v>6.8160746197858169E-2</v>
      </c>
      <c r="AC39" s="6">
        <v>7.411754115296032E-2</v>
      </c>
      <c r="AD39" s="9">
        <v>7.2051849394726974E-2</v>
      </c>
      <c r="AE39" s="6">
        <v>8.4165830891549054E-2</v>
      </c>
      <c r="AF39" s="6">
        <v>7.6401216199512012E-2</v>
      </c>
      <c r="AG39" s="6">
        <v>7.5099191796504039E-2</v>
      </c>
      <c r="AH39" s="6">
        <v>7.7986031344643547E-2</v>
      </c>
      <c r="AI39" s="6">
        <v>3.144922245408821E-2</v>
      </c>
      <c r="AJ39" s="6">
        <v>2.5204299479471781E-2</v>
      </c>
      <c r="AK39" s="6">
        <v>1.0614210316415851E-2</v>
      </c>
      <c r="AL39" s="6">
        <v>1.0083496261663716E-2</v>
      </c>
    </row>
    <row r="40" spans="7:38" x14ac:dyDescent="0.35">
      <c r="G40" s="6">
        <v>-3.1079144412408333E-2</v>
      </c>
      <c r="H40" s="6">
        <v>0.25217917723757299</v>
      </c>
      <c r="I40" s="6">
        <v>-1.2435161403752783E-4</v>
      </c>
      <c r="M40" s="2"/>
      <c r="N40" s="6">
        <v>4.9945151112999686E-2</v>
      </c>
      <c r="O40" s="6">
        <v>2.6857371187976931E-2</v>
      </c>
      <c r="P40" s="6">
        <v>-1.9041586736700755E-2</v>
      </c>
      <c r="Q40" s="6">
        <v>-6.5920671221215366E-2</v>
      </c>
      <c r="R40" s="6">
        <v>-6.1478772607489462E-2</v>
      </c>
      <c r="S40" s="6">
        <v>-4.2900936271809464E-2</v>
      </c>
      <c r="T40" s="6">
        <v>-1.3455063670776313E-2</v>
      </c>
      <c r="U40" s="6">
        <v>2.6357403841531513E-3</v>
      </c>
      <c r="V40" s="6">
        <v>4.1865244215827158E-2</v>
      </c>
      <c r="W40" s="6">
        <v>4.1492189373714572E-2</v>
      </c>
      <c r="X40" s="6">
        <v>4.7938400164504014E-2</v>
      </c>
      <c r="Y40" s="6">
        <v>7.9726880293088165E-2</v>
      </c>
      <c r="Z40" s="6">
        <v>7.789097878745177E-2</v>
      </c>
      <c r="AA40" s="6">
        <v>9.2484176687231745E-2</v>
      </c>
      <c r="AB40" s="6">
        <v>7.5462691916553748E-2</v>
      </c>
      <c r="AC40" s="6">
        <v>8.5310455343745928E-2</v>
      </c>
      <c r="AD40" s="6">
        <v>8.41658308915475E-2</v>
      </c>
      <c r="AE40" s="9">
        <v>0.10232507932009183</v>
      </c>
      <c r="AF40" s="6">
        <v>9.4798376273655283E-2</v>
      </c>
      <c r="AG40" s="6">
        <v>9.4330342522431554E-2</v>
      </c>
      <c r="AH40" s="6">
        <v>0.10115352093439922</v>
      </c>
      <c r="AI40" s="6">
        <v>3.9928467770546039E-2</v>
      </c>
      <c r="AJ40" s="6">
        <v>3.3595835020396425E-2</v>
      </c>
      <c r="AK40" s="6">
        <v>1.5261315126092523E-2</v>
      </c>
      <c r="AL40" s="6">
        <v>1.5628983181506184E-2</v>
      </c>
    </row>
    <row r="41" spans="7:38" x14ac:dyDescent="0.35">
      <c r="G41" s="6">
        <v>-0.15068699051651091</v>
      </c>
      <c r="H41" s="6">
        <v>0.19896539328807883</v>
      </c>
      <c r="I41" s="6">
        <v>-7.9527902820588931E-5</v>
      </c>
      <c r="M41" s="2"/>
      <c r="N41" s="6">
        <v>4.8862716388100025E-2</v>
      </c>
      <c r="O41" s="6">
        <v>2.241430541831646E-2</v>
      </c>
      <c r="P41" s="6">
        <v>-1.7869047917517422E-2</v>
      </c>
      <c r="Q41" s="6">
        <v>-5.7271768872860562E-2</v>
      </c>
      <c r="R41" s="6">
        <v>-5.4807860247788276E-2</v>
      </c>
      <c r="S41" s="6">
        <v>-4.1042251247996098E-2</v>
      </c>
      <c r="T41" s="6">
        <v>-1.8441763223288166E-2</v>
      </c>
      <c r="U41" s="6">
        <v>-6.2667122799078268E-3</v>
      </c>
      <c r="V41" s="6">
        <v>2.4851999520799528E-2</v>
      </c>
      <c r="W41" s="6">
        <v>2.461341581233778E-2</v>
      </c>
      <c r="X41" s="6">
        <v>2.9866626485594905E-2</v>
      </c>
      <c r="Y41" s="6">
        <v>5.5095904390480399E-2</v>
      </c>
      <c r="Z41" s="6">
        <v>5.6936697054282392E-2</v>
      </c>
      <c r="AA41" s="6">
        <v>7.079202849345767E-2</v>
      </c>
      <c r="AB41" s="6">
        <v>6.1413561410092465E-2</v>
      </c>
      <c r="AC41" s="6">
        <v>7.3364592268671758E-2</v>
      </c>
      <c r="AD41" s="6">
        <v>7.6401216199514899E-2</v>
      </c>
      <c r="AE41" s="6">
        <v>9.4798376273660057E-2</v>
      </c>
      <c r="AF41" s="9">
        <v>9.6014596613825942E-2</v>
      </c>
      <c r="AG41" s="6">
        <v>9.873019620865453E-2</v>
      </c>
      <c r="AH41" s="6">
        <v>0.11100807685271263</v>
      </c>
      <c r="AI41" s="6">
        <v>6.7329781855816506E-2</v>
      </c>
      <c r="AJ41" s="6">
        <v>6.7425329744663864E-2</v>
      </c>
      <c r="AK41" s="6">
        <v>5.6453391880154635E-2</v>
      </c>
      <c r="AL41" s="6">
        <v>5.9326590918258204E-2</v>
      </c>
    </row>
    <row r="42" spans="7:38" x14ac:dyDescent="0.35">
      <c r="G42" s="6">
        <v>-0.20132399727069528</v>
      </c>
      <c r="H42" s="6">
        <v>0.18798672131351513</v>
      </c>
      <c r="I42" s="6">
        <v>-6.6696160321933016E-5</v>
      </c>
      <c r="M42" s="2"/>
      <c r="N42" s="6">
        <v>4.8835372248816844E-2</v>
      </c>
      <c r="O42" s="6">
        <v>2.0105887664243427E-2</v>
      </c>
      <c r="P42" s="6">
        <v>-1.9803802406172633E-2</v>
      </c>
      <c r="Q42" s="6">
        <v>-5.8129981892700133E-2</v>
      </c>
      <c r="R42" s="6">
        <v>-5.6274864127806912E-2</v>
      </c>
      <c r="S42" s="6">
        <v>-4.3674112366678453E-2</v>
      </c>
      <c r="T42" s="6">
        <v>-2.2607770784381198E-2</v>
      </c>
      <c r="U42" s="6">
        <v>-1.1340942229691287E-2</v>
      </c>
      <c r="V42" s="6">
        <v>1.813666773757372E-2</v>
      </c>
      <c r="W42" s="6">
        <v>1.793657925660791E-2</v>
      </c>
      <c r="X42" s="6">
        <v>2.2975915453116058E-2</v>
      </c>
      <c r="Y42" s="6">
        <v>4.6880619941297552E-2</v>
      </c>
      <c r="Z42" s="6">
        <v>5.0114337269396625E-2</v>
      </c>
      <c r="AA42" s="6">
        <v>6.4269027626454811E-2</v>
      </c>
      <c r="AB42" s="6">
        <v>5.7248733528813933E-2</v>
      </c>
      <c r="AC42" s="6">
        <v>7.044010565340636E-2</v>
      </c>
      <c r="AD42" s="6">
        <v>7.5099191796508091E-2</v>
      </c>
      <c r="AE42" s="6">
        <v>9.4330342522437438E-2</v>
      </c>
      <c r="AF42" s="6">
        <v>9.8730196208655752E-2</v>
      </c>
      <c r="AG42" s="9">
        <v>0.102697571300296</v>
      </c>
      <c r="AH42" s="6">
        <v>0.11743050729669713</v>
      </c>
      <c r="AI42" s="6">
        <v>7.8264756818913983E-2</v>
      </c>
      <c r="AJ42" s="6">
        <v>8.0668548235190984E-2</v>
      </c>
      <c r="AK42" s="6">
        <v>7.1889404520937839E-2</v>
      </c>
      <c r="AL42" s="6">
        <v>7.5777708728135162E-2</v>
      </c>
    </row>
    <row r="43" spans="7:38" x14ac:dyDescent="0.35">
      <c r="G43" s="6">
        <v>-0.31184773131035737</v>
      </c>
      <c r="H43" s="6">
        <v>0.1973536411543213</v>
      </c>
      <c r="I43" s="6">
        <v>-5.6420848484111264E-5</v>
      </c>
      <c r="M43" s="2"/>
      <c r="N43" s="6">
        <v>5.0019189777538109E-2</v>
      </c>
      <c r="O43" s="6">
        <v>1.3833996898159728E-2</v>
      </c>
      <c r="P43" s="6">
        <v>-3.104239321857305E-2</v>
      </c>
      <c r="Q43" s="6">
        <v>-7.3046093204218954E-2</v>
      </c>
      <c r="R43" s="6">
        <v>-7.1860062100651767E-2</v>
      </c>
      <c r="S43" s="6">
        <v>-5.9284179315698515E-2</v>
      </c>
      <c r="T43" s="6">
        <v>-3.7630506351806536E-2</v>
      </c>
      <c r="U43" s="6">
        <v>-2.6183040536535362E-2</v>
      </c>
      <c r="V43" s="6">
        <v>4.8857544117990592E-3</v>
      </c>
      <c r="W43" s="6">
        <v>4.7164918663467059E-3</v>
      </c>
      <c r="X43" s="6">
        <v>1.0129313464619372E-2</v>
      </c>
      <c r="Y43" s="6">
        <v>3.5333920026808241E-2</v>
      </c>
      <c r="Z43" s="6">
        <v>4.1135721137466275E-2</v>
      </c>
      <c r="AA43" s="6">
        <v>5.7709131166986727E-2</v>
      </c>
      <c r="AB43" s="6">
        <v>5.3303531843623297E-2</v>
      </c>
      <c r="AC43" s="6">
        <v>7.0211887107846649E-2</v>
      </c>
      <c r="AD43" s="6">
        <v>7.7986031344647155E-2</v>
      </c>
      <c r="AE43" s="6">
        <v>0.10115352093440455</v>
      </c>
      <c r="AF43" s="6">
        <v>0.11100807685271313</v>
      </c>
      <c r="AG43" s="6">
        <v>0.11743050729669641</v>
      </c>
      <c r="AH43" s="9">
        <v>0.13794263715149857</v>
      </c>
      <c r="AI43" s="6">
        <v>0.10021140894043634</v>
      </c>
      <c r="AJ43" s="6">
        <v>0.10646099698276523</v>
      </c>
      <c r="AK43" s="6">
        <v>9.9800950290838686E-2</v>
      </c>
      <c r="AL43" s="6">
        <v>0.10577320723234973</v>
      </c>
    </row>
    <row r="44" spans="7:38" x14ac:dyDescent="0.35">
      <c r="G44" s="6">
        <v>-0.40816106330503699</v>
      </c>
      <c r="H44" s="6">
        <v>-7.9870938057104546E-2</v>
      </c>
      <c r="I44" s="6">
        <v>1.0436536149195305E-4</v>
      </c>
      <c r="M44" s="2"/>
      <c r="N44" s="6">
        <v>4.0403267679386623E-2</v>
      </c>
      <c r="O44" s="6">
        <v>1.8929403336153783E-2</v>
      </c>
      <c r="P44" s="6">
        <v>1.9235961205976371E-2</v>
      </c>
      <c r="Q44" s="6">
        <v>2.5636198726298631E-2</v>
      </c>
      <c r="R44" s="6">
        <v>2.0590447863320316E-2</v>
      </c>
      <c r="S44" s="6">
        <v>1.1587363608851264E-2</v>
      </c>
      <c r="T44" s="6">
        <v>5.1847512414382457E-5</v>
      </c>
      <c r="U44" s="6">
        <v>-6.8639295122154831E-3</v>
      </c>
      <c r="V44" s="6">
        <v>-1.8703991347924553E-2</v>
      </c>
      <c r="W44" s="6">
        <v>-1.8390895263448614E-2</v>
      </c>
      <c r="X44" s="6">
        <v>-1.9847735151734436E-2</v>
      </c>
      <c r="Y44" s="6">
        <v>-2.9396034207222366E-2</v>
      </c>
      <c r="Z44" s="6">
        <v>-1.7313040267714852E-2</v>
      </c>
      <c r="AA44" s="6">
        <v>-1.3747517286581301E-2</v>
      </c>
      <c r="AB44" s="6">
        <v>5.8092939963801937E-3</v>
      </c>
      <c r="AC44" s="6">
        <v>1.7310859623503871E-2</v>
      </c>
      <c r="AD44" s="6">
        <v>3.1449222454087433E-2</v>
      </c>
      <c r="AE44" s="6">
        <v>3.9928467770546372E-2</v>
      </c>
      <c r="AF44" s="6">
        <v>6.7329781855811732E-2</v>
      </c>
      <c r="AG44" s="6">
        <v>7.8264756818907433E-2</v>
      </c>
      <c r="AH44" s="6">
        <v>0.10021140894043001</v>
      </c>
      <c r="AI44" s="9">
        <v>0.13578289651877884</v>
      </c>
      <c r="AJ44" s="6">
        <v>0.15559320238129248</v>
      </c>
      <c r="AK44" s="6">
        <v>0.17361647158063764</v>
      </c>
      <c r="AL44" s="6">
        <v>0.18253229116402192</v>
      </c>
    </row>
    <row r="45" spans="7:38" x14ac:dyDescent="0.35">
      <c r="G45" s="6">
        <v>-0.49361285025722568</v>
      </c>
      <c r="H45" s="6">
        <v>-0.12194740692810679</v>
      </c>
      <c r="I45" s="6">
        <v>1.3854825930586763E-4</v>
      </c>
      <c r="M45" s="2"/>
      <c r="N45" s="6">
        <v>3.9478510998817828E-2</v>
      </c>
      <c r="O45" s="6">
        <v>1.5905328274031461E-2</v>
      </c>
      <c r="P45" s="6">
        <v>2.092800749519752E-2</v>
      </c>
      <c r="Q45" s="6">
        <v>3.3403585517461365E-2</v>
      </c>
      <c r="R45" s="6">
        <v>2.6864357065613853E-2</v>
      </c>
      <c r="S45" s="6">
        <v>1.4116670272526832E-2</v>
      </c>
      <c r="T45" s="6">
        <v>-2.7887112366833389E-3</v>
      </c>
      <c r="U45" s="6">
        <v>-1.2765432843652946E-2</v>
      </c>
      <c r="V45" s="6">
        <v>-3.1030083618397208E-2</v>
      </c>
      <c r="W45" s="6">
        <v>-3.0614438840479652E-2</v>
      </c>
      <c r="X45" s="6">
        <v>-3.3025926714570053E-2</v>
      </c>
      <c r="Y45" s="6">
        <v>-4.7770703540777171E-2</v>
      </c>
      <c r="Z45" s="6">
        <v>-3.3003454197886972E-2</v>
      </c>
      <c r="AA45" s="6">
        <v>-3.0180062356720438E-2</v>
      </c>
      <c r="AB45" s="6">
        <v>-4.8544381051655039E-3</v>
      </c>
      <c r="AC45" s="6">
        <v>8.0268091994385449E-3</v>
      </c>
      <c r="AD45" s="6">
        <v>2.5204299479471781E-2</v>
      </c>
      <c r="AE45" s="6">
        <v>3.3595835020397535E-2</v>
      </c>
      <c r="AF45" s="6">
        <v>6.7425329744659646E-2</v>
      </c>
      <c r="AG45" s="6">
        <v>8.0668548235184989E-2</v>
      </c>
      <c r="AH45" s="6">
        <v>0.10646099698275946</v>
      </c>
      <c r="AI45" s="6">
        <v>0.15559320238129337</v>
      </c>
      <c r="AJ45" s="9">
        <v>0.18014121066900923</v>
      </c>
      <c r="AK45" s="6">
        <v>0.20374933527995043</v>
      </c>
      <c r="AL45" s="6">
        <v>0.21447122483849834</v>
      </c>
    </row>
    <row r="46" spans="7:38" x14ac:dyDescent="0.35">
      <c r="G46" s="6">
        <v>-0.55694958261133909</v>
      </c>
      <c r="H46" s="6">
        <v>-0.21108959303597352</v>
      </c>
      <c r="I46" s="6">
        <v>1.9471795231120132E-4</v>
      </c>
      <c r="M46" s="2"/>
      <c r="N46" s="6">
        <v>3.6630828654791836E-2</v>
      </c>
      <c r="O46" s="6">
        <v>1.5808549622081447E-2</v>
      </c>
      <c r="P46" s="6">
        <v>3.4381300046360863E-2</v>
      </c>
      <c r="Q46" s="6">
        <v>6.1840364504897938E-2</v>
      </c>
      <c r="R46" s="6">
        <v>5.304705510583041E-2</v>
      </c>
      <c r="S46" s="6">
        <v>3.3146113743094174E-2</v>
      </c>
      <c r="T46" s="6">
        <v>5.4167440609158568E-3</v>
      </c>
      <c r="U46" s="6">
        <v>-1.0589838255596451E-2</v>
      </c>
      <c r="V46" s="6">
        <v>-4.2611711570551325E-2</v>
      </c>
      <c r="W46" s="6">
        <v>-4.2027557713617769E-2</v>
      </c>
      <c r="X46" s="6">
        <v>-4.6607783933896085E-2</v>
      </c>
      <c r="Y46" s="6">
        <v>-7.2491687410083161E-2</v>
      </c>
      <c r="Z46" s="6">
        <v>-5.4913777293878363E-2</v>
      </c>
      <c r="AA46" s="6">
        <v>-5.5710066466983843E-2</v>
      </c>
      <c r="AB46" s="6">
        <v>-2.1705136584580842E-2</v>
      </c>
      <c r="AC46" s="6">
        <v>-9.5570362699566314E-3</v>
      </c>
      <c r="AD46" s="6">
        <v>1.0614210316420625E-2</v>
      </c>
      <c r="AE46" s="6">
        <v>1.5261315126098518E-2</v>
      </c>
      <c r="AF46" s="6">
        <v>5.6453391880155301E-2</v>
      </c>
      <c r="AG46" s="6">
        <v>7.1889404520936839E-2</v>
      </c>
      <c r="AH46" s="6">
        <v>9.9800950290838131E-2</v>
      </c>
      <c r="AI46" s="6">
        <v>0.17361647158064408</v>
      </c>
      <c r="AJ46" s="6">
        <v>0.2037493352799562</v>
      </c>
      <c r="AK46" s="9">
        <v>0.23613451845374245</v>
      </c>
      <c r="AL46" s="6">
        <v>0.24842404231248127</v>
      </c>
    </row>
    <row r="47" spans="7:38" x14ac:dyDescent="0.35">
      <c r="G47" s="6">
        <v>-0.59909495496043252</v>
      </c>
      <c r="H47" s="6">
        <v>-0.21701003007027619</v>
      </c>
      <c r="I47" s="6">
        <v>2.0368626635841732E-4</v>
      </c>
      <c r="M47" s="2"/>
      <c r="N47" s="6">
        <v>3.6728099047814267E-2</v>
      </c>
      <c r="O47" s="6">
        <v>1.3768192372821231E-2</v>
      </c>
      <c r="P47" s="6">
        <v>3.2093808760707887E-2</v>
      </c>
      <c r="Q47" s="6">
        <v>5.9867101651682741E-2</v>
      </c>
      <c r="R47" s="6">
        <v>5.063077103631386E-2</v>
      </c>
      <c r="S47" s="6">
        <v>3.0003328747596258E-2</v>
      </c>
      <c r="T47" s="6">
        <v>1.3769926843825164E-3</v>
      </c>
      <c r="U47" s="6">
        <v>-1.5176724277166986E-2</v>
      </c>
      <c r="V47" s="6">
        <v>-4.806515269118572E-2</v>
      </c>
      <c r="W47" s="6">
        <v>-4.7454093892110416E-2</v>
      </c>
      <c r="X47" s="6">
        <v>-5.213121839699264E-2</v>
      </c>
      <c r="Y47" s="6">
        <v>-7.8713032175261155E-2</v>
      </c>
      <c r="Z47" s="6">
        <v>-6.0021365435443563E-2</v>
      </c>
      <c r="AA47" s="6">
        <v>-6.0398099482716239E-2</v>
      </c>
      <c r="AB47" s="6">
        <v>-2.4674894619392207E-2</v>
      </c>
      <c r="AC47" s="6">
        <v>-1.1396989199289997E-2</v>
      </c>
      <c r="AD47" s="6">
        <v>1.0083496261667158E-2</v>
      </c>
      <c r="AE47" s="6">
        <v>1.5628983181510847E-2</v>
      </c>
      <c r="AF47" s="6">
        <v>5.9326590918257205E-2</v>
      </c>
      <c r="AG47" s="6">
        <v>7.5777708728132609E-2</v>
      </c>
      <c r="AH47" s="6">
        <v>0.1057732072323474</v>
      </c>
      <c r="AI47" s="6">
        <v>0.18253229116402636</v>
      </c>
      <c r="AJ47" s="6">
        <v>0.21447122483850212</v>
      </c>
      <c r="AK47" s="6">
        <v>0.24842404231247928</v>
      </c>
      <c r="AL47" s="9">
        <v>0.26154573123137981</v>
      </c>
    </row>
    <row r="50" spans="14:14" x14ac:dyDescent="0.35">
      <c r="N50">
        <v>4.158873322647777E-2</v>
      </c>
    </row>
    <row r="51" spans="14:14" x14ac:dyDescent="0.35">
      <c r="N51">
        <v>4.741322875669185E-2</v>
      </c>
    </row>
    <row r="52" spans="14:14" x14ac:dyDescent="0.35">
      <c r="N52">
        <v>0.10046178778776449</v>
      </c>
    </row>
    <row r="53" spans="14:14" x14ac:dyDescent="0.35">
      <c r="N53">
        <v>0.22220146203924807</v>
      </c>
    </row>
    <row r="54" spans="14:14" x14ac:dyDescent="0.35">
      <c r="N54">
        <v>0.20921001490835822</v>
      </c>
    </row>
    <row r="55" spans="14:14" x14ac:dyDescent="0.35">
      <c r="N55">
        <v>0.15875441428315518</v>
      </c>
    </row>
    <row r="56" spans="14:14" x14ac:dyDescent="0.35">
      <c r="N56">
        <v>0.10255981308154549</v>
      </c>
    </row>
    <row r="57" spans="14:14" x14ac:dyDescent="0.35">
      <c r="N57">
        <v>8.5371329173436539E-2</v>
      </c>
    </row>
    <row r="58" spans="14:14" x14ac:dyDescent="0.35">
      <c r="N58">
        <v>7.6032080565195947E-2</v>
      </c>
    </row>
    <row r="59" spans="14:14" x14ac:dyDescent="0.35">
      <c r="N59">
        <v>7.5629758966411054E-2</v>
      </c>
    </row>
    <row r="60" spans="14:14" x14ac:dyDescent="0.35">
      <c r="N60">
        <v>7.8394246024631631E-2</v>
      </c>
    </row>
    <row r="61" spans="14:14" x14ac:dyDescent="0.35">
      <c r="N61">
        <v>0.11553485371246031</v>
      </c>
    </row>
    <row r="62" spans="14:14" x14ac:dyDescent="0.35">
      <c r="N62">
        <v>9.7278159273779585E-2</v>
      </c>
    </row>
    <row r="63" spans="14:14" x14ac:dyDescent="0.35">
      <c r="N63">
        <v>0.11428940434594392</v>
      </c>
    </row>
    <row r="64" spans="14:14" x14ac:dyDescent="0.35">
      <c r="N64">
        <v>7.2353813320930715E-2</v>
      </c>
    </row>
    <row r="65" spans="14:14" x14ac:dyDescent="0.35">
      <c r="N65">
        <v>7.8290809880544932E-2</v>
      </c>
    </row>
    <row r="66" spans="14:14" x14ac:dyDescent="0.35">
      <c r="N66">
        <v>7.2051849394726974E-2</v>
      </c>
    </row>
    <row r="67" spans="14:14" x14ac:dyDescent="0.35">
      <c r="N67">
        <v>0.10232507932009183</v>
      </c>
    </row>
    <row r="68" spans="14:14" x14ac:dyDescent="0.35">
      <c r="N68">
        <v>9.6014596613825942E-2</v>
      </c>
    </row>
    <row r="69" spans="14:14" x14ac:dyDescent="0.35">
      <c r="N69">
        <v>0.102697571300296</v>
      </c>
    </row>
    <row r="70" spans="14:14" x14ac:dyDescent="0.35">
      <c r="N70">
        <v>0.13794263715149857</v>
      </c>
    </row>
    <row r="71" spans="14:14" x14ac:dyDescent="0.35">
      <c r="N71">
        <v>0.13578289651877884</v>
      </c>
    </row>
    <row r="72" spans="14:14" x14ac:dyDescent="0.35">
      <c r="N72">
        <v>0.18014121066900923</v>
      </c>
    </row>
    <row r="73" spans="14:14" x14ac:dyDescent="0.35">
      <c r="N73">
        <v>0.23613451845374245</v>
      </c>
    </row>
    <row r="74" spans="14:14" x14ac:dyDescent="0.35">
      <c r="N74">
        <v>0.26154573123137981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19D5-7593-472E-811F-E26BC59D989A}">
  <dimension ref="A1:I19"/>
  <sheetViews>
    <sheetView workbookViewId="0">
      <selection activeCell="C50" sqref="C50"/>
    </sheetView>
  </sheetViews>
  <sheetFormatPr defaultRowHeight="14.5" x14ac:dyDescent="0.35"/>
  <cols>
    <col min="1" max="1" width="20.453125" bestFit="1" customWidth="1"/>
    <col min="2" max="2" width="12.453125" bestFit="1" customWidth="1"/>
  </cols>
  <sheetData>
    <row r="1" spans="1:9" x14ac:dyDescent="0.35">
      <c r="A1" t="s">
        <v>84</v>
      </c>
    </row>
    <row r="2" spans="1:9" ht="15" thickBot="1" x14ac:dyDescent="0.4"/>
    <row r="3" spans="1:9" x14ac:dyDescent="0.35">
      <c r="A3" s="28" t="s">
        <v>85</v>
      </c>
      <c r="B3" s="28"/>
    </row>
    <row r="4" spans="1:9" x14ac:dyDescent="0.35">
      <c r="A4" s="25" t="s">
        <v>86</v>
      </c>
      <c r="B4" s="25">
        <v>0.93021291527296635</v>
      </c>
    </row>
    <row r="5" spans="1:9" x14ac:dyDescent="0.35">
      <c r="A5" s="25" t="s">
        <v>87</v>
      </c>
      <c r="B5" s="25">
        <v>0.86529606774063084</v>
      </c>
    </row>
    <row r="6" spans="1:9" x14ac:dyDescent="0.35">
      <c r="A6" s="25" t="s">
        <v>88</v>
      </c>
      <c r="B6" s="25">
        <v>0.85305025571705184</v>
      </c>
    </row>
    <row r="7" spans="1:9" x14ac:dyDescent="0.35">
      <c r="A7" s="25" t="s">
        <v>89</v>
      </c>
      <c r="B7" s="25">
        <v>5.3302217176835337E-2</v>
      </c>
    </row>
    <row r="8" spans="1:9" ht="15" thickBot="1" x14ac:dyDescent="0.4">
      <c r="A8" s="26" t="s">
        <v>90</v>
      </c>
      <c r="B8" s="26">
        <v>25</v>
      </c>
    </row>
    <row r="10" spans="1:9" ht="15" thickBot="1" x14ac:dyDescent="0.4">
      <c r="A10" t="s">
        <v>68</v>
      </c>
    </row>
    <row r="11" spans="1:9" x14ac:dyDescent="0.35">
      <c r="A11" s="27"/>
      <c r="B11" s="27" t="s">
        <v>93</v>
      </c>
      <c r="C11" s="27" t="s">
        <v>94</v>
      </c>
      <c r="D11" s="27" t="s">
        <v>95</v>
      </c>
      <c r="E11" s="27" t="s">
        <v>96</v>
      </c>
      <c r="F11" s="27" t="s">
        <v>97</v>
      </c>
    </row>
    <row r="12" spans="1:9" x14ac:dyDescent="0.35">
      <c r="A12" s="25" t="s">
        <v>91</v>
      </c>
      <c r="B12" s="25">
        <v>2</v>
      </c>
      <c r="C12" s="25">
        <v>0.40151122016873653</v>
      </c>
      <c r="D12" s="25">
        <v>0.20075561008436826</v>
      </c>
      <c r="E12" s="25">
        <v>70.660570820009667</v>
      </c>
      <c r="F12" s="25">
        <v>2.6496164507268417E-10</v>
      </c>
    </row>
    <row r="13" spans="1:9" x14ac:dyDescent="0.35">
      <c r="A13" s="25" t="s">
        <v>78</v>
      </c>
      <c r="B13" s="25">
        <v>22</v>
      </c>
      <c r="C13" s="25">
        <v>6.2504779831263443E-2</v>
      </c>
      <c r="D13" s="25">
        <v>2.84112635596652E-3</v>
      </c>
      <c r="E13" s="25"/>
      <c r="F13" s="25"/>
    </row>
    <row r="14" spans="1:9" ht="15" thickBot="1" x14ac:dyDescent="0.4">
      <c r="A14" s="26" t="s">
        <v>79</v>
      </c>
      <c r="B14" s="26">
        <v>24</v>
      </c>
      <c r="C14" s="26">
        <v>0.46401599999999998</v>
      </c>
      <c r="D14" s="26"/>
      <c r="E14" s="26"/>
      <c r="F14" s="26"/>
    </row>
    <row r="15" spans="1:9" ht="15" thickBot="1" x14ac:dyDescent="0.4"/>
    <row r="16" spans="1:9" x14ac:dyDescent="0.35">
      <c r="A16" s="27"/>
      <c r="B16" s="27" t="s">
        <v>98</v>
      </c>
      <c r="C16" s="27" t="s">
        <v>89</v>
      </c>
      <c r="D16" s="27" t="s">
        <v>99</v>
      </c>
      <c r="E16" s="27" t="s">
        <v>100</v>
      </c>
      <c r="F16" s="27" t="s">
        <v>101</v>
      </c>
      <c r="G16" s="27" t="s">
        <v>102</v>
      </c>
      <c r="H16" s="27" t="s">
        <v>103</v>
      </c>
      <c r="I16" s="27" t="s">
        <v>104</v>
      </c>
    </row>
    <row r="17" spans="1:9" x14ac:dyDescent="0.35">
      <c r="A17" s="25" t="s">
        <v>92</v>
      </c>
      <c r="B17" s="25">
        <v>1.5644967711360978</v>
      </c>
      <c r="C17" s="25">
        <v>7.9395981467384913E-2</v>
      </c>
      <c r="D17" s="25">
        <v>19.704986854766418</v>
      </c>
      <c r="E17" s="25">
        <v>1.8173257707610901E-15</v>
      </c>
      <c r="F17" s="25">
        <v>1.3998395834710811</v>
      </c>
      <c r="G17" s="25">
        <v>1.7291539588011144</v>
      </c>
      <c r="H17" s="25">
        <v>1.3998395834710811</v>
      </c>
      <c r="I17" s="25">
        <v>1.7291539588011144</v>
      </c>
    </row>
    <row r="18" spans="1:9" x14ac:dyDescent="0.35">
      <c r="A18" s="25" t="s">
        <v>4</v>
      </c>
      <c r="B18" s="25">
        <v>0.23719747484424697</v>
      </c>
      <c r="C18" s="25">
        <v>5.5559366412150514E-2</v>
      </c>
      <c r="D18" s="25">
        <v>4.2692616954028697</v>
      </c>
      <c r="E18" s="25">
        <v>3.1256718362363559E-4</v>
      </c>
      <c r="F18" s="25">
        <v>0.12197440117227649</v>
      </c>
      <c r="G18" s="25">
        <v>0.35242054851621746</v>
      </c>
      <c r="H18" s="25">
        <v>0.12197440117227649</v>
      </c>
      <c r="I18" s="25">
        <v>0.35242054851621746</v>
      </c>
    </row>
    <row r="19" spans="1:9" ht="15" thickBot="1" x14ac:dyDescent="0.4">
      <c r="A19" s="26" t="s">
        <v>5</v>
      </c>
      <c r="B19" s="26">
        <v>-2.4907928411224245E-4</v>
      </c>
      <c r="C19" s="26">
        <v>3.2048496181971211E-5</v>
      </c>
      <c r="D19" s="26">
        <v>-7.7719491953061208</v>
      </c>
      <c r="E19" s="26">
        <v>9.508790794225179E-8</v>
      </c>
      <c r="F19" s="26">
        <v>-3.1554379721085755E-4</v>
      </c>
      <c r="G19" s="26">
        <v>-1.8261477101362734E-4</v>
      </c>
      <c r="H19" s="26">
        <v>-3.1554379721085755E-4</v>
      </c>
      <c r="I19" s="26">
        <v>-1.8261477101362734E-4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Ejercicio</vt:lpstr>
      <vt:lpstr>Continuacion 1</vt:lpstr>
      <vt:lpstr>OUTLIERS</vt:lpstr>
      <vt:lpstr>Matriz Hat</vt:lpstr>
      <vt:lpstr>Regresion Excel</vt:lpstr>
      <vt:lpstr>Ejercicio!Print_Area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76052</dc:creator>
  <cp:lastModifiedBy>actda</cp:lastModifiedBy>
  <dcterms:created xsi:type="dcterms:W3CDTF">2019-08-20T04:24:25Z</dcterms:created>
  <dcterms:modified xsi:type="dcterms:W3CDTF">2021-11-22T17:56:52Z</dcterms:modified>
</cp:coreProperties>
</file>