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CIENCIAS 2018\MODELOS LINEALES\EJEMPLOS Y EJERCICIOS\ANOVA\"/>
    </mc:Choice>
  </mc:AlternateContent>
  <xr:revisionPtr revIDLastSave="0" documentId="13_ncr:1_{715A6001-F171-45EB-AF98-2E5DB584A81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Excel" sheetId="6" r:id="rId1"/>
    <sheet name="Datos" sheetId="1" r:id="rId2"/>
    <sheet name="Clase" sheetId="3" r:id="rId3"/>
    <sheet name="P.Homogeneidad" sheetId="10" r:id="rId4"/>
    <sheet name="P Scheffe" sheetId="1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1" l="1"/>
  <c r="I36" i="11" s="1"/>
  <c r="L15" i="11"/>
  <c r="J14" i="11"/>
  <c r="E11" i="11"/>
  <c r="G14" i="11"/>
  <c r="K14" i="11" s="1"/>
  <c r="L14" i="11"/>
  <c r="G15" i="11"/>
  <c r="K15" i="11" s="1"/>
  <c r="J15" i="11"/>
  <c r="G16" i="11"/>
  <c r="K16" i="11" s="1"/>
  <c r="J16" i="11"/>
  <c r="L16" i="11"/>
  <c r="G17" i="11"/>
  <c r="K17" i="11" s="1"/>
  <c r="J17" i="11"/>
  <c r="L17" i="11"/>
  <c r="G18" i="11"/>
  <c r="K18" i="11" s="1"/>
  <c r="J18" i="11"/>
  <c r="L18" i="11"/>
  <c r="G19" i="11"/>
  <c r="K19" i="11" s="1"/>
  <c r="J19" i="11"/>
  <c r="L19" i="11"/>
  <c r="G23" i="11"/>
  <c r="H23" i="11" s="1"/>
  <c r="H24" i="11"/>
  <c r="I24" i="11" s="1"/>
  <c r="H25" i="11"/>
  <c r="I25" i="11" s="1"/>
  <c r="H26" i="11"/>
  <c r="J26" i="11" s="1"/>
  <c r="H27" i="11"/>
  <c r="I27" i="11"/>
  <c r="J27" i="11"/>
  <c r="H28" i="11"/>
  <c r="I28" i="11" s="1"/>
  <c r="J28" i="11"/>
  <c r="H34" i="11"/>
  <c r="I34" i="11" s="1"/>
  <c r="H35" i="11"/>
  <c r="J35" i="11" s="1"/>
  <c r="J36" i="11"/>
  <c r="H37" i="11"/>
  <c r="J37" i="11" s="1"/>
  <c r="H38" i="11"/>
  <c r="I38" i="11" s="1"/>
  <c r="H39" i="11"/>
  <c r="J39" i="11" s="1"/>
  <c r="E91" i="10"/>
  <c r="I23" i="11" l="1"/>
  <c r="J23" i="11"/>
  <c r="I39" i="11"/>
  <c r="I37" i="11"/>
  <c r="J24" i="11"/>
  <c r="I26" i="11"/>
  <c r="I35" i="11"/>
  <c r="J38" i="11"/>
  <c r="J34" i="11"/>
  <c r="J25" i="11"/>
  <c r="E40" i="10"/>
  <c r="F68" i="3"/>
  <c r="F67" i="3"/>
  <c r="D34" i="10" l="1"/>
  <c r="F24" i="10"/>
  <c r="F21" i="10"/>
  <c r="F20" i="10"/>
  <c r="F17" i="10"/>
  <c r="E32" i="10"/>
  <c r="F30" i="10" s="1"/>
  <c r="E28" i="10"/>
  <c r="F26" i="10" s="1"/>
  <c r="E24" i="10"/>
  <c r="F22" i="10" s="1"/>
  <c r="E20" i="10"/>
  <c r="F18" i="10" s="1"/>
  <c r="E16" i="10"/>
  <c r="F14" i="10" s="1"/>
  <c r="E12" i="10"/>
  <c r="F12" i="10" s="1"/>
  <c r="F65" i="3"/>
  <c r="F64" i="3"/>
  <c r="M57" i="3"/>
  <c r="M56" i="3"/>
  <c r="L56" i="3"/>
  <c r="M54" i="3"/>
  <c r="L54" i="3"/>
  <c r="L57" i="3" s="1"/>
  <c r="K54" i="3"/>
  <c r="K57" i="3" s="1"/>
  <c r="M53" i="3"/>
  <c r="L53" i="3"/>
  <c r="K53" i="3"/>
  <c r="K56" i="3" s="1"/>
  <c r="T44" i="3"/>
  <c r="R45" i="3"/>
  <c r="R44" i="3"/>
  <c r="R43" i="3"/>
  <c r="R42" i="3"/>
  <c r="T45" i="3"/>
  <c r="S45" i="3"/>
  <c r="S44" i="3"/>
  <c r="T43" i="3"/>
  <c r="S43" i="3"/>
  <c r="T42" i="3"/>
  <c r="S42" i="3"/>
  <c r="T40" i="3"/>
  <c r="S40" i="3"/>
  <c r="R40" i="3"/>
  <c r="T39" i="3"/>
  <c r="S39" i="3"/>
  <c r="R39" i="3"/>
  <c r="T38" i="3"/>
  <c r="S38" i="3"/>
  <c r="R38" i="3"/>
  <c r="T37" i="3"/>
  <c r="S37" i="3"/>
  <c r="R37" i="3"/>
  <c r="K58" i="3" l="1"/>
  <c r="K59" i="3" s="1"/>
  <c r="E66" i="3" s="1"/>
  <c r="F10" i="10"/>
  <c r="F15" i="10"/>
  <c r="F19" i="10"/>
  <c r="F23" i="10"/>
  <c r="F27" i="10"/>
  <c r="F31" i="10"/>
  <c r="F11" i="10"/>
  <c r="F16" i="10"/>
  <c r="F28" i="10"/>
  <c r="F32" i="10"/>
  <c r="G20" i="10"/>
  <c r="J20" i="10" s="1"/>
  <c r="F13" i="10"/>
  <c r="F25" i="10"/>
  <c r="F29" i="10"/>
  <c r="G24" i="10"/>
  <c r="J22" i="10" s="1"/>
  <c r="F9" i="10"/>
  <c r="E89" i="10"/>
  <c r="I23" i="3"/>
  <c r="G12" i="10" l="1"/>
  <c r="J9" i="10"/>
  <c r="F34" i="10"/>
  <c r="J29" i="10"/>
  <c r="G32" i="10"/>
  <c r="J32" i="10"/>
  <c r="J10" i="10"/>
  <c r="J18" i="10"/>
  <c r="G28" i="10"/>
  <c r="J25" i="10"/>
  <c r="J23" i="10"/>
  <c r="J13" i="10"/>
  <c r="G16" i="10"/>
  <c r="J16" i="10"/>
  <c r="J19" i="10"/>
  <c r="J24" i="10"/>
  <c r="J11" i="10"/>
  <c r="J31" i="10"/>
  <c r="J15" i="10"/>
  <c r="J17" i="10"/>
  <c r="J21" i="10"/>
  <c r="D29" i="3"/>
  <c r="F28" i="3"/>
  <c r="F29" i="3" s="1"/>
  <c r="E28" i="3"/>
  <c r="D28" i="3"/>
  <c r="I24" i="3"/>
  <c r="G17" i="3"/>
  <c r="F17" i="3"/>
  <c r="E17" i="3"/>
  <c r="D17" i="3"/>
  <c r="G16" i="3"/>
  <c r="G11" i="3"/>
  <c r="F16" i="3"/>
  <c r="E16" i="3"/>
  <c r="D16" i="3"/>
  <c r="F11" i="3"/>
  <c r="E11" i="3"/>
  <c r="D11" i="3"/>
  <c r="J26" i="10" l="1"/>
  <c r="J27" i="10"/>
  <c r="J34" i="10"/>
  <c r="J14" i="10"/>
  <c r="J28" i="10"/>
  <c r="J30" i="10"/>
  <c r="J12" i="10"/>
  <c r="F80" i="10" l="1"/>
  <c r="F68" i="10"/>
  <c r="F65" i="10"/>
  <c r="E80" i="10"/>
  <c r="F79" i="10" s="1"/>
  <c r="E76" i="10"/>
  <c r="F75" i="10" s="1"/>
  <c r="E72" i="10"/>
  <c r="F71" i="10" s="1"/>
  <c r="E68" i="10"/>
  <c r="F67" i="10" s="1"/>
  <c r="E64" i="10"/>
  <c r="F63" i="10" s="1"/>
  <c r="E60" i="10"/>
  <c r="F57" i="10" s="1"/>
  <c r="F64" i="10" l="1"/>
  <c r="F72" i="10"/>
  <c r="F69" i="10"/>
  <c r="F77" i="10"/>
  <c r="F58" i="10"/>
  <c r="F62" i="10"/>
  <c r="F66" i="10"/>
  <c r="F70" i="10"/>
  <c r="F74" i="10"/>
  <c r="F78" i="10"/>
  <c r="G68" i="10"/>
  <c r="J67" i="10" s="1"/>
  <c r="F60" i="10"/>
  <c r="F76" i="10"/>
  <c r="F61" i="10"/>
  <c r="F73" i="10"/>
  <c r="F59" i="10"/>
  <c r="G72" i="10"/>
  <c r="E88" i="10"/>
  <c r="J66" i="10" l="1"/>
  <c r="J69" i="10"/>
  <c r="F82" i="10"/>
  <c r="J70" i="10"/>
  <c r="G80" i="10"/>
  <c r="J78" i="10" s="1"/>
  <c r="J72" i="10"/>
  <c r="J68" i="10"/>
  <c r="G76" i="10"/>
  <c r="J73" i="10" s="1"/>
  <c r="G64" i="10"/>
  <c r="J62" i="10" s="1"/>
  <c r="G60" i="10"/>
  <c r="J59" i="10" s="1"/>
  <c r="J74" i="10"/>
  <c r="J71" i="10"/>
  <c r="J65" i="10"/>
  <c r="H82" i="10"/>
  <c r="D82" i="10"/>
  <c r="J61" i="10" l="1"/>
  <c r="J77" i="10"/>
  <c r="J60" i="10"/>
  <c r="J63" i="10"/>
  <c r="J64" i="10"/>
  <c r="J75" i="10"/>
  <c r="G82" i="10"/>
  <c r="J57" i="10"/>
  <c r="J58" i="10"/>
  <c r="J80" i="10"/>
  <c r="J79" i="10"/>
  <c r="J76" i="10"/>
  <c r="J82" i="10" l="1"/>
  <c r="I64" i="10"/>
  <c r="I80" i="10"/>
  <c r="I60" i="10"/>
  <c r="I76" i="10"/>
  <c r="I72" i="10"/>
  <c r="I68" i="10"/>
  <c r="I82" i="10" l="1"/>
  <c r="E92" i="10" s="1"/>
  <c r="E41" i="10"/>
  <c r="H34" i="10" l="1"/>
  <c r="H27" i="6" l="1"/>
  <c r="H26" i="6"/>
  <c r="H25" i="6"/>
  <c r="G34" i="10" l="1"/>
  <c r="F66" i="3"/>
  <c r="G66" i="3" s="1"/>
  <c r="F46" i="3"/>
  <c r="E46" i="3"/>
  <c r="D46" i="3"/>
  <c r="F41" i="3"/>
  <c r="E41" i="3"/>
  <c r="D41" i="3"/>
  <c r="K26" i="3"/>
  <c r="J24" i="3"/>
  <c r="J23" i="3"/>
  <c r="I24" i="10" l="1"/>
  <c r="I20" i="10"/>
  <c r="I28" i="10"/>
  <c r="I16" i="10"/>
  <c r="I12" i="10"/>
  <c r="I32" i="10"/>
  <c r="U46" i="3"/>
  <c r="J25" i="3"/>
  <c r="H44" i="3"/>
  <c r="L44" i="3" s="1"/>
  <c r="H43" i="3"/>
  <c r="L43" i="3" s="1"/>
  <c r="H42" i="3"/>
  <c r="L42" i="3" s="1"/>
  <c r="H45" i="3"/>
  <c r="L45" i="3" s="1"/>
  <c r="H39" i="3"/>
  <c r="L39" i="3" s="1"/>
  <c r="H38" i="3"/>
  <c r="L38" i="3" s="1"/>
  <c r="H37" i="3"/>
  <c r="L37" i="3" s="1"/>
  <c r="H40" i="3"/>
  <c r="L40" i="3" s="1"/>
  <c r="I44" i="3"/>
  <c r="M44" i="3" s="1"/>
  <c r="I43" i="3"/>
  <c r="M43" i="3" s="1"/>
  <c r="I42" i="3"/>
  <c r="M42" i="3" s="1"/>
  <c r="I45" i="3"/>
  <c r="M45" i="3" s="1"/>
  <c r="K27" i="3"/>
  <c r="E64" i="3" s="1"/>
  <c r="I39" i="3"/>
  <c r="M39" i="3" s="1"/>
  <c r="I38" i="3"/>
  <c r="M38" i="3" s="1"/>
  <c r="I37" i="3"/>
  <c r="M37" i="3" s="1"/>
  <c r="I40" i="3"/>
  <c r="M40" i="3" s="1"/>
  <c r="J44" i="3"/>
  <c r="N44" i="3" s="1"/>
  <c r="J43" i="3"/>
  <c r="N43" i="3" s="1"/>
  <c r="J42" i="3"/>
  <c r="N42" i="3" s="1"/>
  <c r="J45" i="3"/>
  <c r="N45" i="3" s="1"/>
  <c r="J39" i="3"/>
  <c r="N39" i="3" s="1"/>
  <c r="J38" i="3"/>
  <c r="N38" i="3" s="1"/>
  <c r="J37" i="3"/>
  <c r="N37" i="3" s="1"/>
  <c r="J40" i="3"/>
  <c r="N40" i="3" s="1"/>
  <c r="E29" i="3"/>
  <c r="G29" i="3" s="1"/>
  <c r="G30" i="3" s="1"/>
  <c r="G64" i="3" l="1"/>
  <c r="I34" i="10"/>
  <c r="E43" i="10" s="1"/>
  <c r="E44" i="10" s="1"/>
  <c r="O46" i="3"/>
  <c r="E67" i="3" s="1"/>
  <c r="G67" i="3" s="1"/>
  <c r="H66" i="3" s="1"/>
  <c r="I66" i="3" s="1"/>
  <c r="H64" i="3" l="1"/>
  <c r="I64" i="3" s="1"/>
  <c r="G32" i="3"/>
  <c r="E65" i="3" s="1"/>
  <c r="G65" i="3" l="1"/>
  <c r="H65" i="3" s="1"/>
  <c r="I65" i="3" s="1"/>
  <c r="E68" i="3"/>
</calcChain>
</file>

<file path=xl/sharedStrings.xml><?xml version="1.0" encoding="utf-8"?>
<sst xmlns="http://schemas.openxmlformats.org/spreadsheetml/2006/main" count="209" uniqueCount="121">
  <si>
    <t>Semilla</t>
  </si>
  <si>
    <t>Bajo</t>
  </si>
  <si>
    <t>Medio</t>
  </si>
  <si>
    <t>Alto</t>
  </si>
  <si>
    <t>Nivel de Fertilizante</t>
  </si>
  <si>
    <t>Media</t>
  </si>
  <si>
    <t>Y…</t>
  </si>
  <si>
    <t>Yi.</t>
  </si>
  <si>
    <t>Suma de Cuadrados de Efectos Principales</t>
  </si>
  <si>
    <t>Diferencia</t>
  </si>
  <si>
    <t>Cuadrado</t>
  </si>
  <si>
    <t>suma</t>
  </si>
  <si>
    <t>a*n*suma</t>
  </si>
  <si>
    <t>n=</t>
  </si>
  <si>
    <t>a=</t>
  </si>
  <si>
    <t>b=</t>
  </si>
  <si>
    <t>cuadrado</t>
  </si>
  <si>
    <t>suma fertilizan</t>
  </si>
  <si>
    <t>Suma de cuadrado residual</t>
  </si>
  <si>
    <t>Diferencias respecto a media de su grupo</t>
  </si>
  <si>
    <t>b*n*suma</t>
  </si>
  <si>
    <t>Fertilizante</t>
  </si>
  <si>
    <t>Residual</t>
  </si>
  <si>
    <t>Total</t>
  </si>
  <si>
    <t>GL</t>
  </si>
  <si>
    <t>F</t>
  </si>
  <si>
    <t>P VALUE</t>
  </si>
  <si>
    <t>FERTILIZANTE</t>
  </si>
  <si>
    <t>SEMILLAS</t>
  </si>
  <si>
    <t>Variable dependiente: RENDIMIENTO</t>
  </si>
  <si>
    <t>Sig.</t>
  </si>
  <si>
    <t>Cuadrado de Diferencias respecto a media de su grupo</t>
  </si>
  <si>
    <t>1</t>
  </si>
  <si>
    <t>2</t>
  </si>
  <si>
    <t>Análisis de varianza de dos factores con varias muestras por grupo</t>
  </si>
  <si>
    <t>RESUMEN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</si>
  <si>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</si>
  <si>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</si>
  <si>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</si>
  <si>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</si>
  <si>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</si>
  <si>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</si>
  <si>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</si>
  <si>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</si>
  <si>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</si>
  <si>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Probabilidad</t>
  </si>
  <si>
    <t>Valor crítico para F</t>
  </si>
  <si>
    <t>Muestra</t>
  </si>
  <si>
    <t>Columnas</t>
  </si>
  <si>
    <t>Interacción</t>
  </si>
  <si>
    <t>Dentro del grupo</t>
  </si>
  <si>
    <t>n=4</t>
  </si>
  <si>
    <t>b=3</t>
  </si>
  <si>
    <t>a</t>
  </si>
  <si>
    <t>Suma de Cuad Semillas</t>
  </si>
  <si>
    <t>Fuente de Variación</t>
  </si>
  <si>
    <t>Suma de Cuadrados</t>
  </si>
  <si>
    <t>Cuadrados Medios</t>
  </si>
  <si>
    <t>Interaccion F*S</t>
  </si>
  <si>
    <t>ANOVA</t>
  </si>
  <si>
    <t>Yi..</t>
  </si>
  <si>
    <t>Y.j.</t>
  </si>
  <si>
    <t>Yij.</t>
  </si>
  <si>
    <t>gl1</t>
  </si>
  <si>
    <t>gl2</t>
  </si>
  <si>
    <t>Contrasta la hipótesis nula de que la varianza error de la variable dependiente es igual a lo largo de todos los grupos.</t>
  </si>
  <si>
    <r>
      <t>Contraste de Levene sobre la igualdad de las varianzas error</t>
    </r>
    <r>
      <rPr>
        <b/>
        <vertAlign val="superscript"/>
        <sz val="9"/>
        <color indexed="8"/>
        <rFont val="Arial Bold"/>
      </rPr>
      <t>a</t>
    </r>
  </si>
  <si>
    <t>PRUEBA PARA HOMOGENEIDAD DE LA VARIANZA</t>
  </si>
  <si>
    <t>Yij</t>
  </si>
  <si>
    <t>Zij</t>
  </si>
  <si>
    <t>Zi.</t>
  </si>
  <si>
    <t>ni</t>
  </si>
  <si>
    <t>ni(Zi-Z..)²</t>
  </si>
  <si>
    <t>(Zij-Zi.)²</t>
  </si>
  <si>
    <t>n-k=</t>
  </si>
  <si>
    <t>k-1=</t>
  </si>
  <si>
    <t>W=</t>
  </si>
  <si>
    <t>Prueb F=</t>
  </si>
  <si>
    <t>Por lo tanto NO se Rechazo Ho</t>
  </si>
  <si>
    <t>La hipótesis de Homogeneidad no se rechaza</t>
  </si>
  <si>
    <t>k=2*3</t>
  </si>
  <si>
    <t>a. Diseño: Intersección + SEMILLA + FERTILIZANTE + SEMILLA * FERTILIZANTE</t>
  </si>
  <si>
    <t>Grupo A</t>
  </si>
  <si>
    <t>Grupo B</t>
  </si>
  <si>
    <t>Media A</t>
  </si>
  <si>
    <t>Media B</t>
  </si>
  <si>
    <t>Diferencia de Medias</t>
  </si>
  <si>
    <t>nA</t>
  </si>
  <si>
    <t>nB</t>
  </si>
  <si>
    <t>Error Est. Diferencia</t>
  </si>
  <si>
    <t>Estadística Sheffé</t>
  </si>
  <si>
    <t>Umbral de Sheffé</t>
  </si>
  <si>
    <t>Conclusión</t>
  </si>
  <si>
    <t>EE* Umbral Scheffé</t>
  </si>
  <si>
    <t>Limite Inferior</t>
  </si>
  <si>
    <t>Limite Superior</t>
  </si>
  <si>
    <t>FERILIZANTE</t>
  </si>
  <si>
    <t>SCR²</t>
  </si>
  <si>
    <t>*</t>
  </si>
  <si>
    <t>Yijk</t>
  </si>
  <si>
    <t>Y..k</t>
  </si>
  <si>
    <t>Zijk</t>
  </si>
  <si>
    <t>nr</t>
  </si>
  <si>
    <t>r</t>
  </si>
  <si>
    <t>SCR²/n</t>
  </si>
  <si>
    <t>n=2</t>
  </si>
  <si>
    <t>Interaciones</t>
  </si>
  <si>
    <t>Interacciones</t>
  </si>
  <si>
    <t>Variabilidad total de todos los datos</t>
  </si>
  <si>
    <t>Variabilidad debida a los factores</t>
  </si>
  <si>
    <t>Variabilidad de los distintos factores de semillas</t>
  </si>
  <si>
    <t>Variabilidad de los distintos factores de tipo de fertilizante</t>
  </si>
  <si>
    <t>p value</t>
  </si>
  <si>
    <t xml:space="preserve">NO RECHAZO HO </t>
  </si>
  <si>
    <r>
      <t xml:space="preserve">Ho: </t>
    </r>
    <r>
      <rPr>
        <sz val="11"/>
        <color theme="1"/>
        <rFont val="Calibri"/>
        <family val="2"/>
      </rPr>
      <t>α1=α2=…=αi=0</t>
    </r>
  </si>
  <si>
    <r>
      <t xml:space="preserve">Ho: </t>
    </r>
    <r>
      <rPr>
        <sz val="11"/>
        <color theme="1"/>
        <rFont val="Calibri"/>
        <family val="2"/>
      </rPr>
      <t>β1=β2=…=βj</t>
    </r>
    <r>
      <rPr>
        <sz val="11"/>
        <color theme="1"/>
        <rFont val="Calibri"/>
        <family val="2"/>
        <scheme val="minor"/>
      </rPr>
      <t>=0</t>
    </r>
  </si>
  <si>
    <r>
      <t>Ho: (</t>
    </r>
    <r>
      <rPr>
        <sz val="11"/>
        <color theme="1"/>
        <rFont val="Calibri"/>
        <family val="2"/>
      </rPr>
      <t>αβ</t>
    </r>
    <r>
      <rPr>
        <sz val="12.1"/>
        <color theme="1"/>
        <rFont val="Calibri"/>
        <family val="2"/>
      </rPr>
      <t>)</t>
    </r>
    <r>
      <rPr>
        <sz val="11"/>
        <color theme="1"/>
        <rFont val="Calibri"/>
        <family val="2"/>
      </rPr>
      <t>ij</t>
    </r>
    <r>
      <rPr>
        <sz val="12.1"/>
        <color theme="1"/>
        <rFont val="Calibri"/>
        <family val="2"/>
      </rPr>
      <t>=0</t>
    </r>
  </si>
  <si>
    <r>
      <t xml:space="preserve">El factor </t>
    </r>
    <r>
      <rPr>
        <sz val="11"/>
        <color theme="1"/>
        <rFont val="Calibri"/>
        <family val="2"/>
      </rPr>
      <t>α</t>
    </r>
    <r>
      <rPr>
        <sz val="12.1"/>
        <color theme="1"/>
        <rFont val="Calibri"/>
        <family val="2"/>
      </rPr>
      <t xml:space="preserve"> no influye</t>
    </r>
  </si>
  <si>
    <r>
      <t xml:space="preserve">El factor </t>
    </r>
    <r>
      <rPr>
        <sz val="11"/>
        <color theme="1"/>
        <rFont val="Calibri"/>
        <family val="2"/>
      </rPr>
      <t>β</t>
    </r>
    <r>
      <rPr>
        <sz val="12.1"/>
        <color theme="1"/>
        <rFont val="Calibri"/>
        <family val="2"/>
      </rPr>
      <t xml:space="preserve"> no influye</t>
    </r>
  </si>
  <si>
    <t>No hay interacción</t>
  </si>
  <si>
    <t>En caso de existir desviaciones significativas, los resultados posteriores pueden ser erroneos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</si>
</sst>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-* #,##0.0_-;\-* #,##0.0_-;_-* &quot;-&quot;??_-;_-@_-"/>
    <numFmt numFmtId="165" formatCode="_-* #,##0.0000_-;\-* #,##0.0000_-;_-* &quot;-&quot;??_-;_-@_-"/>
    <numFmt numFmtId="166" formatCode="###0"/>
    <numFmt numFmtId="167" formatCode="###0.000"/>
    <numFmt numFmtId="168" formatCode="####.000"/>
    <numFmt numFmtId="169" formatCode="0.000"/>
    <numFmt numFmtId="170" formatCode="_-* #,##0.000_-;\-* #,##0.000_-;_-* &quot;-&quot;??_-;_-@_-"/>
    <numFmt numFmtId="171" formatCode="_-* #,##0.00000_-;\-* #,##0.00000_-;_-* &quot;-&quot;??_-;_-@_-"/>
    <numFmt numFmtId="172" formatCode="0.0000"/>
    <numFmt numFmtId="175" formatCode="0.000000"/>
    <numFmt numFmtId="176" formatCode="0.00000"/>
    <numFmt numFmtId="179" formatCode="0.0000000"/>
    <numFmt numFmtId="180" formatCode="_-* #,##0.000000_-;\-* #,##0.000000_-;_-* &quot;-&quot;??_-;_-@_-"/>
    <numFmt numFmtId="181" formatCode="0.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9"/>
      <color indexed="8"/>
      <name val="Arial Bold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2.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112">
    <xf numFmtId="0" fontId="0" fillId="0" borderId="0" xfId="0"/>
    <xf numFmtId="0" fontId="2" fillId="0" borderId="0" xfId="0" applyFont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43" fontId="0" fillId="0" borderId="0" xfId="0" applyNumberFormat="1"/>
    <xf numFmtId="0" fontId="2" fillId="2" borderId="10" xfId="0" applyFont="1" applyFill="1" applyBorder="1" applyAlignment="1">
      <alignment horizontal="center" vertical="center" wrapText="1"/>
    </xf>
    <xf numFmtId="43" fontId="2" fillId="2" borderId="10" xfId="1" applyNumberFormat="1" applyFont="1" applyFill="1" applyBorder="1"/>
    <xf numFmtId="0" fontId="2" fillId="2" borderId="0" xfId="0" applyFont="1" applyFill="1"/>
    <xf numFmtId="164" fontId="2" fillId="2" borderId="0" xfId="0" applyNumberFormat="1" applyFont="1" applyFill="1"/>
    <xf numFmtId="0" fontId="2" fillId="0" borderId="1" xfId="0" applyFont="1" applyBorder="1"/>
    <xf numFmtId="0" fontId="2" fillId="2" borderId="0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Fill="1" applyBorder="1" applyAlignment="1"/>
    <xf numFmtId="0" fontId="6" fillId="0" borderId="15" xfId="0" applyFont="1" applyFill="1" applyBorder="1" applyAlignment="1">
      <alignment horizontal="right"/>
    </xf>
    <xf numFmtId="0" fontId="0" fillId="0" borderId="16" xfId="0" applyFill="1" applyBorder="1" applyAlignment="1"/>
    <xf numFmtId="0" fontId="7" fillId="0" borderId="17" xfId="0" applyFont="1" applyFill="1" applyBorder="1" applyAlignment="1">
      <alignment horizontal="center"/>
    </xf>
    <xf numFmtId="43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70" fontId="0" fillId="0" borderId="0" xfId="1" applyNumberFormat="1" applyFont="1"/>
    <xf numFmtId="0" fontId="7" fillId="3" borderId="0" xfId="0" applyFont="1" applyFill="1"/>
    <xf numFmtId="0" fontId="8" fillId="2" borderId="0" xfId="0" applyFont="1" applyFill="1" applyBorder="1" applyAlignment="1">
      <alignment horizontal="center"/>
    </xf>
    <xf numFmtId="0" fontId="2" fillId="0" borderId="10" xfId="0" applyFont="1" applyBorder="1"/>
    <xf numFmtId="2" fontId="2" fillId="0" borderId="21" xfId="0" applyNumberFormat="1" applyFont="1" applyBorder="1"/>
    <xf numFmtId="2" fontId="2" fillId="0" borderId="11" xfId="0" applyNumberFormat="1" applyFont="1" applyBorder="1"/>
    <xf numFmtId="169" fontId="0" fillId="0" borderId="18" xfId="0" applyNumberFormat="1" applyBorder="1"/>
    <xf numFmtId="169" fontId="0" fillId="0" borderId="19" xfId="0" applyNumberFormat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/>
    </xf>
    <xf numFmtId="0" fontId="0" fillId="0" borderId="21" xfId="0" applyBorder="1"/>
    <xf numFmtId="0" fontId="0" fillId="0" borderId="11" xfId="0" applyBorder="1"/>
    <xf numFmtId="170" fontId="0" fillId="0" borderId="0" xfId="0" applyNumberFormat="1"/>
    <xf numFmtId="0" fontId="0" fillId="0" borderId="0" xfId="0" applyAlignment="1">
      <alignment horizontal="right"/>
    </xf>
    <xf numFmtId="0" fontId="5" fillId="0" borderId="0" xfId="2" applyFont="1" applyBorder="1" applyAlignment="1">
      <alignment vertical="top"/>
    </xf>
    <xf numFmtId="0" fontId="2" fillId="5" borderId="0" xfId="0" applyFont="1" applyFill="1"/>
    <xf numFmtId="43" fontId="2" fillId="5" borderId="0" xfId="0" applyNumberFormat="1" applyFont="1" applyFill="1"/>
    <xf numFmtId="169" fontId="0" fillId="0" borderId="0" xfId="0" applyNumberFormat="1"/>
    <xf numFmtId="0" fontId="2" fillId="6" borderId="1" xfId="0" applyFont="1" applyFill="1" applyBorder="1" applyAlignment="1">
      <alignment horizontal="center"/>
    </xf>
    <xf numFmtId="165" fontId="0" fillId="0" borderId="0" xfId="1" applyNumberFormat="1" applyFont="1"/>
    <xf numFmtId="171" fontId="0" fillId="0" borderId="0" xfId="0" applyNumberFormat="1"/>
    <xf numFmtId="0" fontId="3" fillId="0" borderId="0" xfId="3"/>
    <xf numFmtId="0" fontId="5" fillId="0" borderId="12" xfId="3" applyFont="1" applyBorder="1" applyAlignment="1">
      <alignment horizontal="center" wrapText="1"/>
    </xf>
    <xf numFmtId="0" fontId="5" fillId="0" borderId="13" xfId="3" applyFont="1" applyBorder="1" applyAlignment="1">
      <alignment horizontal="center" wrapText="1"/>
    </xf>
    <xf numFmtId="0" fontId="5" fillId="0" borderId="14" xfId="3" applyFont="1" applyBorder="1" applyAlignment="1">
      <alignment horizontal="center" wrapText="1"/>
    </xf>
    <xf numFmtId="167" fontId="5" fillId="0" borderId="12" xfId="3" applyNumberFormat="1" applyFont="1" applyBorder="1" applyAlignment="1">
      <alignment horizontal="right" vertical="top"/>
    </xf>
    <xf numFmtId="166" fontId="5" fillId="0" borderId="13" xfId="3" applyNumberFormat="1" applyFont="1" applyBorder="1" applyAlignment="1">
      <alignment horizontal="right" vertical="top"/>
    </xf>
    <xf numFmtId="168" fontId="5" fillId="0" borderId="14" xfId="3" applyNumberFormat="1" applyFont="1" applyBorder="1" applyAlignment="1">
      <alignment horizontal="right" vertical="top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5" fontId="0" fillId="0" borderId="0" xfId="0" applyNumberFormat="1"/>
    <xf numFmtId="172" fontId="0" fillId="0" borderId="0" xfId="0" applyNumberFormat="1"/>
    <xf numFmtId="176" fontId="0" fillId="0" borderId="0" xfId="0" applyNumberFormat="1"/>
    <xf numFmtId="0" fontId="0" fillId="3" borderId="0" xfId="0" applyFill="1" applyAlignment="1">
      <alignment horizontal="center"/>
    </xf>
    <xf numFmtId="2" fontId="0" fillId="0" borderId="0" xfId="0" applyNumberFormat="1"/>
    <xf numFmtId="0" fontId="0" fillId="0" borderId="0" xfId="0" applyBorder="1"/>
    <xf numFmtId="0" fontId="5" fillId="0" borderId="0" xfId="3" applyFont="1" applyBorder="1" applyAlignment="1">
      <alignment horizontal="center" wrapText="1"/>
    </xf>
    <xf numFmtId="167" fontId="5" fillId="0" borderId="0" xfId="3" applyNumberFormat="1" applyFont="1" applyBorder="1" applyAlignment="1">
      <alignment horizontal="right" vertical="top"/>
    </xf>
    <xf numFmtId="166" fontId="5" fillId="0" borderId="0" xfId="3" applyNumberFormat="1" applyFont="1" applyBorder="1" applyAlignment="1">
      <alignment horizontal="right" vertical="top"/>
    </xf>
    <xf numFmtId="168" fontId="5" fillId="0" borderId="0" xfId="3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/>
    </xf>
    <xf numFmtId="164" fontId="2" fillId="0" borderId="3" xfId="1" applyNumberFormat="1" applyFont="1" applyBorder="1"/>
    <xf numFmtId="164" fontId="2" fillId="0" borderId="4" xfId="1" applyNumberFormat="1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5" fontId="2" fillId="5" borderId="0" xfId="0" applyNumberFormat="1" applyFont="1" applyFill="1"/>
    <xf numFmtId="43" fontId="2" fillId="3" borderId="0" xfId="0" applyNumberFormat="1" applyFont="1" applyFill="1"/>
    <xf numFmtId="0" fontId="2" fillId="3" borderId="0" xfId="0" applyFont="1" applyFill="1"/>
    <xf numFmtId="179" fontId="0" fillId="0" borderId="0" xfId="0" applyNumberFormat="1"/>
    <xf numFmtId="0" fontId="2" fillId="3" borderId="1" xfId="0" applyFont="1" applyFill="1" applyBorder="1"/>
    <xf numFmtId="0" fontId="11" fillId="3" borderId="0" xfId="0" applyFont="1" applyFill="1"/>
    <xf numFmtId="165" fontId="2" fillId="3" borderId="1" xfId="0" applyNumberFormat="1" applyFont="1" applyFill="1" applyBorder="1"/>
    <xf numFmtId="180" fontId="0" fillId="0" borderId="0" xfId="1" applyNumberFormat="1" applyFont="1"/>
    <xf numFmtId="169" fontId="2" fillId="0" borderId="0" xfId="0" applyNumberFormat="1" applyFont="1"/>
    <xf numFmtId="18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0" xfId="2" applyFont="1" applyBorder="1" applyAlignment="1">
      <alignment horizontal="left" vertical="top" wrapText="1"/>
    </xf>
    <xf numFmtId="0" fontId="2" fillId="0" borderId="8" xfId="0" applyFont="1" applyBorder="1" applyAlignment="1">
      <alignment horizontal="center"/>
    </xf>
    <xf numFmtId="0" fontId="2" fillId="2" borderId="18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top" wrapText="1"/>
    </xf>
    <xf numFmtId="0" fontId="4" fillId="0" borderId="0" xfId="3" applyFont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_Hoja2" xfId="2" xr:uid="{00000000-0005-0000-0000-000003000000}"/>
    <cellStyle name="Normal_P.Homogeneidad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wmf"/><Relationship Id="rId1" Type="http://schemas.openxmlformats.org/officeDocument/2006/relationships/image" Target="../media/image8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257917</xdr:colOff>
      <xdr:row>61</xdr:row>
      <xdr:rowOff>83498</xdr:rowOff>
    </xdr:from>
    <xdr:to>
      <xdr:col>19</xdr:col>
      <xdr:colOff>372960</xdr:colOff>
      <xdr:row>73</xdr:row>
      <xdr:rowOff>187407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8281" y="11703998"/>
          <a:ext cx="5449043" cy="26063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473457</xdr:colOff>
      <xdr:row>31</xdr:row>
      <xdr:rowOff>34997</xdr:rowOff>
    </xdr:from>
    <xdr:to>
      <xdr:col>14</xdr:col>
      <xdr:colOff>127001</xdr:colOff>
      <xdr:row>34</xdr:row>
      <xdr:rowOff>97698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5290" y="5940497"/>
          <a:ext cx="1939544" cy="634201"/>
        </a:xfrm>
        <a:prstGeom prst="rect">
          <a:avLst/>
        </a:prstGeom>
      </xdr:spPr>
    </xdr:pic>
    <xdr:clientData/>
  </xdr:twoCellAnchor>
  <xdr:twoCellAnchor editAs="oneCell">
    <xdr:from>
      <xdr:col>17</xdr:col>
      <xdr:colOff>161019</xdr:colOff>
      <xdr:row>30</xdr:row>
      <xdr:rowOff>65308</xdr:rowOff>
    </xdr:from>
    <xdr:to>
      <xdr:col>19</xdr:col>
      <xdr:colOff>370417</xdr:colOff>
      <xdr:row>33</xdr:row>
      <xdr:rowOff>137432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852" y="5780308"/>
          <a:ext cx="1733398" cy="643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156482</xdr:colOff>
      <xdr:row>16</xdr:row>
      <xdr:rowOff>147796</xdr:rowOff>
    </xdr:from>
    <xdr:to>
      <xdr:col>11</xdr:col>
      <xdr:colOff>718704</xdr:colOff>
      <xdr:row>19</xdr:row>
      <xdr:rowOff>174171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277" y="3195796"/>
          <a:ext cx="1436791" cy="59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303686</xdr:colOff>
      <xdr:row>25</xdr:row>
      <xdr:rowOff>116747</xdr:rowOff>
    </xdr:from>
    <xdr:to>
      <xdr:col>1</xdr:col>
      <xdr:colOff>658091</xdr:colOff>
      <xdr:row>28</xdr:row>
      <xdr:rowOff>30306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86" y="4879247"/>
          <a:ext cx="1116405" cy="485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638301</xdr:colOff>
      <xdr:row>46</xdr:row>
      <xdr:rowOff>139939</xdr:rowOff>
    </xdr:from>
    <xdr:to>
      <xdr:col>12</xdr:col>
      <xdr:colOff>251114</xdr:colOff>
      <xdr:row>49</xdr:row>
      <xdr:rowOff>76092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0096" y="8902939"/>
          <a:ext cx="2011382" cy="507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2458218" cy="376913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143500"/>
          <a:ext cx="2458218" cy="376913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224291</xdr:colOff>
      <xdr:row>36</xdr:row>
      <xdr:rowOff>6350</xdr:rowOff>
    </xdr:from>
    <xdr:ext cx="2003201" cy="351513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616" y="5149850"/>
          <a:ext cx="2003201" cy="351513"/>
        </a:xfrm>
        <a:prstGeom prst="rect">
          <a:avLst/>
        </a:prstGeom>
        <a:noFill/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514350</xdr:colOff>
          <xdr:row>34</xdr:row>
          <xdr:rowOff>76200</xdr:rowOff>
        </xdr:from>
        <xdr:to>
          <xdr:col>11</xdr:col>
          <xdr:colOff>504825</xdr:colOff>
          <xdr:row>40</xdr:row>
          <xdr:rowOff>133350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84</xdr:row>
      <xdr:rowOff>0</xdr:rowOff>
    </xdr:from>
    <xdr:ext cx="2458218" cy="376913"/>
    <xdr:pic>
      <xdr:nvPicPr>
        <xdr:cNvPr id="5" name="Imagen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096000"/>
          <a:ext cx="2458218" cy="376913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224291</xdr:colOff>
      <xdr:row>84</xdr:row>
      <xdr:rowOff>6350</xdr:rowOff>
    </xdr:from>
    <xdr:ext cx="2003201" cy="351513"/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7591" y="6102350"/>
          <a:ext cx="2003201" cy="351513"/>
        </a:xfrm>
        <a:prstGeom prst="rect">
          <a:avLst/>
        </a:prstGeom>
        <a:noFill/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371475</xdr:colOff>
          <xdr:row>84</xdr:row>
          <xdr:rowOff>81127</xdr:rowOff>
        </xdr:from>
        <xdr:to>
          <xdr:col>10</xdr:col>
          <xdr:colOff>428625</xdr:colOff>
          <xdr:row>88</xdr:row>
          <xdr:rowOff>150594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333375</xdr:colOff>
      <xdr:row>3</xdr:row>
      <xdr:rowOff>104775</xdr:rowOff>
    </xdr:from>
    <xdr:ext cx="2458218" cy="376913"/>
    <xdr:pic>
      <xdr:nvPicPr>
        <xdr:cNvPr id="11" name="Imagen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76275"/>
          <a:ext cx="2458218" cy="376913"/>
        </a:xfrm>
        <a:prstGeom prst="rect">
          <a:avLst/>
        </a:prstGeom>
        <a:noFill/>
      </xdr:spPr>
    </xdr:pic>
    <xdr:clientData/>
  </xdr:oneCellAnchor>
  <xdr:oneCellAnchor>
    <xdr:from>
      <xdr:col>4</xdr:col>
      <xdr:colOff>548141</xdr:colOff>
      <xdr:row>3</xdr:row>
      <xdr:rowOff>82550</xdr:rowOff>
    </xdr:from>
    <xdr:ext cx="2003201" cy="351513"/>
    <xdr:pic>
      <xdr:nvPicPr>
        <xdr:cNvPr id="12" name="Imagen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441" y="654050"/>
          <a:ext cx="2003201" cy="351513"/>
        </a:xfrm>
        <a:prstGeom prst="rect">
          <a:avLst/>
        </a:prstGeom>
        <a:noFill/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514350</xdr:colOff>
          <xdr:row>3</xdr:row>
          <xdr:rowOff>76200</xdr:rowOff>
        </xdr:from>
        <xdr:to>
          <xdr:col>14</xdr:col>
          <xdr:colOff>504825</xdr:colOff>
          <xdr:row>9</xdr:row>
          <xdr:rowOff>133350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5</xdr:row>
          <xdr:rowOff>152400</xdr:rowOff>
        </xdr:from>
        <xdr:to>
          <xdr:col>12</xdr:col>
          <xdr:colOff>895350</xdr:colOff>
          <xdr:row>9</xdr:row>
          <xdr:rowOff>57150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7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561975</xdr:colOff>
          <xdr:row>9</xdr:row>
          <xdr:rowOff>171450</xdr:rowOff>
        </xdr:from>
        <xdr:to>
          <xdr:col>11</xdr:col>
          <xdr:colOff>0</xdr:colOff>
          <xdr:row>11</xdr:row>
          <xdr:rowOff>171450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7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627063</xdr:colOff>
      <xdr:row>7</xdr:row>
      <xdr:rowOff>66674</xdr:rowOff>
    </xdr:from>
    <xdr:ext cx="1944687" cy="5924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4437063" y="12389643"/>
              <a:ext cx="1944687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𝐸𝐸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/>
                          </a:rPr>
                          <m:t>𝐸𝑠</m:t>
                        </m:r>
                      </m:e>
                    </m:d>
                    <m:r>
                      <a:rPr lang="es-MX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latin typeface="Cambria Math"/>
                                  </a:rPr>
                                  <m:t>𝑆𝐶𝑅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MX" sz="11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/>
                                      </a:rPr>
                                      <m:t>𝐴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s-MX" sz="1100" b="0" i="1">
                                <a:latin typeface="Cambria Math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/>
                                      </a:rPr>
                                      <m:t>𝐵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rad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4437063" y="12389643"/>
              <a:ext cx="1944687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𝐸𝐸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𝐸𝑠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s-MX" sz="1100" b="0" i="0">
                  <a:latin typeface="Cambria Math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√(〖</a:t>
              </a:r>
              <a:r>
                <a:rPr lang="es-MX" sz="1100" b="0" i="0">
                  <a:latin typeface="Cambria Math"/>
                </a:rPr>
                <a:t>𝑆𝐶𝑅</a:t>
              </a:r>
              <a:r>
                <a:rPr lang="es-MX" sz="1100" b="0" i="0">
                  <a:latin typeface="Cambria Math" panose="02040503050406030204" pitchFamily="18" charset="0"/>
                </a:rPr>
                <a:t>〗^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/</a:t>
              </a:r>
              <a:r>
                <a:rPr lang="es-MX" sz="1100" b="0" i="0">
                  <a:latin typeface="Cambria Math"/>
                </a:rPr>
                <a:t>𝑛</a:t>
              </a:r>
              <a:r>
                <a:rPr lang="es-MX" sz="1100" b="0" i="0">
                  <a:latin typeface="Cambria Math" panose="02040503050406030204" pitchFamily="18" charset="0"/>
                </a:rPr>
                <a:t> (</a:t>
              </a:r>
              <a:r>
                <a:rPr lang="es-MX" sz="1100" b="0" i="0">
                  <a:latin typeface="Cambria Math"/>
                </a:rPr>
                <a:t>1</a:t>
              </a:r>
              <a:r>
                <a:rPr lang="es-MX" sz="1100" b="0" i="0">
                  <a:latin typeface="Cambria Math" panose="02040503050406030204" pitchFamily="18" charset="0"/>
                </a:rPr>
                <a:t>/</a:t>
              </a:r>
              <a:r>
                <a:rPr lang="es-MX" sz="1100" b="0" i="0">
                  <a:latin typeface="Cambria Math"/>
                </a:rPr>
                <a:t>𝑛</a:t>
              </a:r>
              <a:r>
                <a:rPr lang="es-MX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/>
                </a:rPr>
                <a:t>𝐴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latin typeface="Cambria Math"/>
                </a:rPr>
                <a:t>+1</a:t>
              </a:r>
              <a:r>
                <a:rPr lang="es-MX" sz="1100" b="0" i="0">
                  <a:latin typeface="Cambria Math" panose="02040503050406030204" pitchFamily="18" charset="0"/>
                </a:rPr>
                <a:t>/</a:t>
              </a:r>
              <a:r>
                <a:rPr lang="es-MX" sz="1100" b="0" i="0">
                  <a:latin typeface="Cambria Math"/>
                </a:rPr>
                <a:t>𝑛</a:t>
              </a:r>
              <a:r>
                <a:rPr lang="es-MX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/>
                </a:rPr>
                <a:t>𝐵</a:t>
              </a:r>
              <a:r>
                <a:rPr lang="es-MX" sz="1100" b="0" i="0">
                  <a:latin typeface="Cambria Math" panose="02040503050406030204" pitchFamily="18" charset="0"/>
                </a:rPr>
                <a:t> ) )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0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7" workbookViewId="0">
      <selection activeCell="F29" sqref="F29"/>
    </sheetView>
  </sheetViews>
  <sheetFormatPr baseColWidth="10" defaultRowHeight="15"/>
  <cols>
    <col min="7" max="7" width="18" bestFit="1" customWidth="1"/>
  </cols>
  <sheetData>
    <row r="1" spans="1:5">
      <c r="A1" t="s">
        <v>34</v>
      </c>
    </row>
    <row r="3" spans="1:5">
      <c r="A3" t="s">
        <v>35</v>
      </c>
      <c r="B3" t="s">
        <v>1</v>
      </c>
      <c r="C3" t="s">
        <v>2</v>
      </c>
      <c r="D3" t="s">
        <v>3</v>
      </c>
      <c r="E3" t="s">
        <v>23</v>
      </c>
    </row>
    <row r="4" spans="1:5" ht="15.75" thickBot="1">
      <c r="A4" s="20">
        <v>1</v>
      </c>
      <c r="B4" s="20"/>
      <c r="C4" s="20"/>
      <c r="D4" s="20"/>
      <c r="E4" s="20"/>
    </row>
    <row r="5" spans="1:5">
      <c r="A5" s="19" t="s">
        <v>36</v>
      </c>
      <c r="B5" s="19">
        <v>4</v>
      </c>
      <c r="C5" s="19">
        <v>4</v>
      </c>
      <c r="D5" s="19">
        <v>4</v>
      </c>
      <c r="E5" s="19">
        <v>12</v>
      </c>
    </row>
    <row r="6" spans="1:5">
      <c r="A6" s="19" t="s">
        <v>37</v>
      </c>
      <c r="B6" s="19">
        <v>53.9</v>
      </c>
      <c r="C6" s="19">
        <v>70.400000000000006</v>
      </c>
      <c r="D6" s="19">
        <v>72.899999999999991</v>
      </c>
      <c r="E6" s="19">
        <v>197.2</v>
      </c>
    </row>
    <row r="7" spans="1:5">
      <c r="A7" s="19" t="s">
        <v>38</v>
      </c>
      <c r="B7" s="19">
        <v>13.475</v>
      </c>
      <c r="C7" s="19">
        <v>17.600000000000001</v>
      </c>
      <c r="D7" s="19">
        <v>18.224999999999998</v>
      </c>
      <c r="E7" s="19">
        <v>16.433333333333334</v>
      </c>
    </row>
    <row r="8" spans="1:5">
      <c r="A8" s="19" t="s">
        <v>39</v>
      </c>
      <c r="B8" s="19">
        <v>1.8825000000000003</v>
      </c>
      <c r="C8" s="19">
        <v>0.16666666666666666</v>
      </c>
      <c r="D8" s="19">
        <v>0.28249999999999881</v>
      </c>
      <c r="E8" s="19">
        <v>5.4806060606060782</v>
      </c>
    </row>
    <row r="9" spans="1:5">
      <c r="A9" s="19"/>
      <c r="B9" s="19"/>
      <c r="C9" s="19"/>
      <c r="D9" s="19"/>
      <c r="E9" s="19"/>
    </row>
    <row r="10" spans="1:5" ht="15.75" thickBot="1">
      <c r="A10" s="20">
        <v>2</v>
      </c>
      <c r="B10" s="20"/>
      <c r="C10" s="20"/>
      <c r="D10" s="20"/>
      <c r="E10" s="20"/>
    </row>
    <row r="11" spans="1:5">
      <c r="A11" s="19" t="s">
        <v>36</v>
      </c>
      <c r="B11" s="19">
        <v>4</v>
      </c>
      <c r="C11" s="19">
        <v>4</v>
      </c>
      <c r="D11" s="19">
        <v>4</v>
      </c>
      <c r="E11" s="19">
        <v>12</v>
      </c>
    </row>
    <row r="12" spans="1:5">
      <c r="A12" s="19" t="s">
        <v>37</v>
      </c>
      <c r="B12" s="19">
        <v>46.9</v>
      </c>
      <c r="C12" s="19">
        <v>40.700000000000003</v>
      </c>
      <c r="D12" s="19">
        <v>66.5</v>
      </c>
      <c r="E12" s="19">
        <v>154.1</v>
      </c>
    </row>
    <row r="13" spans="1:5">
      <c r="A13" s="19" t="s">
        <v>38</v>
      </c>
      <c r="B13" s="19">
        <v>11.725</v>
      </c>
      <c r="C13" s="19">
        <v>10.175000000000001</v>
      </c>
      <c r="D13" s="19">
        <v>16.625</v>
      </c>
      <c r="E13" s="19">
        <v>12.841666666666667</v>
      </c>
    </row>
    <row r="14" spans="1:5">
      <c r="A14" s="19" t="s">
        <v>39</v>
      </c>
      <c r="B14" s="19">
        <v>0.56916666666666671</v>
      </c>
      <c r="C14" s="19">
        <v>3.8891666666666538</v>
      </c>
      <c r="D14" s="19">
        <v>0.54250000000000032</v>
      </c>
      <c r="E14" s="19">
        <v>9.608106060606092</v>
      </c>
    </row>
    <row r="15" spans="1:5">
      <c r="A15" s="19"/>
      <c r="B15" s="19"/>
      <c r="C15" s="19"/>
      <c r="D15" s="19"/>
      <c r="E15" s="19"/>
    </row>
    <row r="16" spans="1:5" ht="15.75" thickBot="1">
      <c r="A16" s="20" t="s">
        <v>23</v>
      </c>
      <c r="B16" s="20"/>
      <c r="C16" s="20"/>
      <c r="D16" s="20"/>
    </row>
    <row r="17" spans="1:8">
      <c r="A17" s="19" t="s">
        <v>36</v>
      </c>
      <c r="B17" s="19">
        <v>8</v>
      </c>
      <c r="C17" s="19">
        <v>8</v>
      </c>
      <c r="D17" s="19">
        <v>8</v>
      </c>
    </row>
    <row r="18" spans="1:8">
      <c r="A18" s="19" t="s">
        <v>37</v>
      </c>
      <c r="B18" s="19">
        <v>100.8</v>
      </c>
      <c r="C18" s="19">
        <v>111.10000000000001</v>
      </c>
      <c r="D18" s="19">
        <v>139.39999999999998</v>
      </c>
    </row>
    <row r="19" spans="1:8">
      <c r="A19" s="19" t="s">
        <v>38</v>
      </c>
      <c r="B19" s="19">
        <v>12.6</v>
      </c>
      <c r="C19" s="19">
        <v>13.887499999999999</v>
      </c>
      <c r="D19" s="19">
        <v>17.425000000000001</v>
      </c>
    </row>
    <row r="20" spans="1:8">
      <c r="A20" s="19" t="s">
        <v>39</v>
      </c>
      <c r="B20" s="19">
        <v>1.9257142857143208</v>
      </c>
      <c r="C20" s="19">
        <v>17.489821428571467</v>
      </c>
      <c r="D20" s="19">
        <v>1.0849999999999993</v>
      </c>
    </row>
    <row r="21" spans="1:8">
      <c r="A21" s="19"/>
      <c r="B21" s="19"/>
      <c r="C21" s="19"/>
      <c r="D21" s="19"/>
    </row>
    <row r="23" spans="1:8" ht="15.75" thickBot="1">
      <c r="A23" t="s">
        <v>40</v>
      </c>
    </row>
    <row r="24" spans="1:8">
      <c r="A24" s="22" t="s">
        <v>41</v>
      </c>
      <c r="B24" s="22" t="s">
        <v>42</v>
      </c>
      <c r="C24" s="22" t="s">
        <v>43</v>
      </c>
      <c r="D24" s="22" t="s">
        <v>44</v>
      </c>
      <c r="E24" s="22" t="s">
        <v>25</v>
      </c>
      <c r="F24" s="22" t="s">
        <v>45</v>
      </c>
      <c r="G24" s="22" t="s">
        <v>46</v>
      </c>
    </row>
    <row r="25" spans="1:8">
      <c r="A25" s="19" t="s">
        <v>47</v>
      </c>
      <c r="B25" s="19">
        <v>77.4004166666667</v>
      </c>
      <c r="C25" s="19">
        <v>1</v>
      </c>
      <c r="D25" s="19">
        <v>77.4004166666667</v>
      </c>
      <c r="E25" s="19">
        <v>63.334810773951624</v>
      </c>
      <c r="F25" s="19">
        <v>2.6397934713834708E-7</v>
      </c>
      <c r="G25" s="19">
        <v>4.4138734191705664</v>
      </c>
      <c r="H25">
        <f>_xlfn.F.INV.RT(0.05,C25,$C$28)</f>
        <v>4.4138734191705664</v>
      </c>
    </row>
    <row r="26" spans="1:8">
      <c r="A26" s="19" t="s">
        <v>48</v>
      </c>
      <c r="B26" s="19">
        <v>99.872500000000002</v>
      </c>
      <c r="C26" s="19">
        <v>2</v>
      </c>
      <c r="D26" s="19">
        <v>49.936250000000001</v>
      </c>
      <c r="E26" s="19">
        <v>40.861575178997619</v>
      </c>
      <c r="F26" s="19">
        <v>2.0337081880077754E-7</v>
      </c>
      <c r="G26" s="19">
        <v>3.5545571456617879</v>
      </c>
      <c r="H26">
        <f t="shared" ref="H26:H27" si="0">_xlfn.F.INV.RT(0.05,C26,$C$28)</f>
        <v>3.5545571456617879</v>
      </c>
    </row>
    <row r="27" spans="1:8">
      <c r="A27" s="19" t="s">
        <v>49</v>
      </c>
      <c r="B27" s="19">
        <v>44.105833333333351</v>
      </c>
      <c r="C27" s="19">
        <v>2</v>
      </c>
      <c r="D27" s="19">
        <v>22.052916666666675</v>
      </c>
      <c r="E27" s="19">
        <v>18.045346062052516</v>
      </c>
      <c r="F27" s="19">
        <v>5.0043733080061527E-5</v>
      </c>
      <c r="G27" s="19">
        <v>3.5545571456617879</v>
      </c>
      <c r="H27">
        <f t="shared" si="0"/>
        <v>3.5545571456617879</v>
      </c>
    </row>
    <row r="28" spans="1:8">
      <c r="A28" s="19" t="s">
        <v>50</v>
      </c>
      <c r="B28" s="19">
        <v>21.997499999999999</v>
      </c>
      <c r="C28" s="19">
        <v>18</v>
      </c>
      <c r="D28" s="19">
        <v>1.2220833333333332</v>
      </c>
      <c r="E28" s="19"/>
      <c r="F28" s="19"/>
      <c r="G28" s="19"/>
    </row>
    <row r="29" spans="1:8">
      <c r="A29" s="19"/>
      <c r="B29" s="19"/>
      <c r="C29" s="19"/>
      <c r="D29" s="19"/>
      <c r="E29" s="19"/>
      <c r="F29" s="19"/>
      <c r="G29" s="19"/>
    </row>
    <row r="30" spans="1:8" ht="15.75" thickBot="1">
      <c r="A30" s="21" t="s">
        <v>23</v>
      </c>
      <c r="B30" s="21">
        <v>243.37625000000006</v>
      </c>
      <c r="C30" s="21">
        <v>23</v>
      </c>
      <c r="D30" s="21"/>
      <c r="E30" s="21"/>
      <c r="F30" s="21"/>
      <c r="G3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12"/>
  <sheetViews>
    <sheetView showGridLines="0" tabSelected="1" zoomScale="90" zoomScaleNormal="90" workbookViewId="0">
      <selection activeCell="C26" sqref="C26"/>
    </sheetView>
  </sheetViews>
  <sheetFormatPr baseColWidth="10" defaultRowHeight="15"/>
  <cols>
    <col min="2" max="2" width="7.5703125" customWidth="1"/>
  </cols>
  <sheetData>
    <row r="3" spans="2:5">
      <c r="B3" s="99" t="s">
        <v>0</v>
      </c>
      <c r="C3" s="101" t="s">
        <v>4</v>
      </c>
      <c r="D3" s="101"/>
      <c r="E3" s="101"/>
    </row>
    <row r="4" spans="2:5">
      <c r="B4" s="100"/>
      <c r="C4" s="95" t="s">
        <v>1</v>
      </c>
      <c r="D4" s="95" t="s">
        <v>2</v>
      </c>
      <c r="E4" s="95" t="s">
        <v>3</v>
      </c>
    </row>
    <row r="5" spans="2:5">
      <c r="B5" s="96">
        <v>1</v>
      </c>
      <c r="C5" s="79">
        <v>14.3</v>
      </c>
      <c r="D5" s="79">
        <v>18.100000000000001</v>
      </c>
      <c r="E5" s="80">
        <v>17.600000000000001</v>
      </c>
    </row>
    <row r="6" spans="2:5">
      <c r="B6" s="97">
        <v>1</v>
      </c>
      <c r="C6" s="81">
        <v>14.5</v>
      </c>
      <c r="D6" s="81">
        <v>17.600000000000001</v>
      </c>
      <c r="E6" s="82">
        <v>18.2</v>
      </c>
    </row>
    <row r="7" spans="2:5">
      <c r="B7" s="97">
        <v>1</v>
      </c>
      <c r="C7" s="81">
        <v>11.5</v>
      </c>
      <c r="D7" s="81">
        <v>17.100000000000001</v>
      </c>
      <c r="E7" s="82">
        <v>18.899999999999999</v>
      </c>
    </row>
    <row r="8" spans="2:5">
      <c r="B8" s="98">
        <v>1</v>
      </c>
      <c r="C8" s="83">
        <v>13.6</v>
      </c>
      <c r="D8" s="83">
        <v>17.600000000000001</v>
      </c>
      <c r="E8" s="84">
        <v>18.2</v>
      </c>
    </row>
    <row r="9" spans="2:5">
      <c r="B9" s="97">
        <v>2</v>
      </c>
      <c r="C9" s="81">
        <v>12.6</v>
      </c>
      <c r="D9" s="81">
        <v>10.5</v>
      </c>
      <c r="E9" s="82">
        <v>15.7</v>
      </c>
    </row>
    <row r="10" spans="2:5">
      <c r="B10" s="97">
        <v>2</v>
      </c>
      <c r="C10" s="81">
        <v>11.2</v>
      </c>
      <c r="D10" s="81">
        <v>12.8</v>
      </c>
      <c r="E10" s="82">
        <v>17.5</v>
      </c>
    </row>
    <row r="11" spans="2:5">
      <c r="B11" s="97">
        <v>2</v>
      </c>
      <c r="C11" s="81">
        <v>11</v>
      </c>
      <c r="D11" s="81">
        <v>8.3000000000000007</v>
      </c>
      <c r="E11" s="82">
        <v>16.7</v>
      </c>
    </row>
    <row r="12" spans="2:5">
      <c r="B12" s="98">
        <v>2</v>
      </c>
      <c r="C12" s="83">
        <v>12.1</v>
      </c>
      <c r="D12" s="83">
        <v>9.1</v>
      </c>
      <c r="E12" s="84">
        <v>16.600000000000001</v>
      </c>
    </row>
  </sheetData>
  <mergeCells count="2">
    <mergeCell ref="B3:B4"/>
    <mergeCell ref="C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U72"/>
  <sheetViews>
    <sheetView zoomScale="110" zoomScaleNormal="110" workbookViewId="0">
      <selection activeCell="C67" sqref="C67"/>
    </sheetView>
  </sheetViews>
  <sheetFormatPr baseColWidth="10" defaultRowHeight="15"/>
  <cols>
    <col min="4" max="4" width="14.42578125" customWidth="1"/>
    <col min="9" max="9" width="12" bestFit="1" customWidth="1"/>
    <col min="11" max="11" width="13.140625" customWidth="1"/>
  </cols>
  <sheetData>
    <row r="5" spans="2:11">
      <c r="C5" s="106" t="s">
        <v>0</v>
      </c>
      <c r="D5" s="101" t="s">
        <v>4</v>
      </c>
      <c r="E5" s="101"/>
      <c r="F5" s="101"/>
    </row>
    <row r="6" spans="2:11">
      <c r="C6" s="106"/>
      <c r="D6" s="24" t="s">
        <v>1</v>
      </c>
      <c r="E6" s="24" t="s">
        <v>2</v>
      </c>
      <c r="F6" s="24" t="s">
        <v>3</v>
      </c>
    </row>
    <row r="7" spans="2:11">
      <c r="C7" s="107">
        <v>1</v>
      </c>
      <c r="D7" s="2">
        <v>14.3</v>
      </c>
      <c r="E7" s="3">
        <v>18.100000000000001</v>
      </c>
      <c r="F7" s="4">
        <v>17.600000000000001</v>
      </c>
    </row>
    <row r="8" spans="2:11">
      <c r="C8" s="108"/>
      <c r="D8" s="5">
        <v>14.5</v>
      </c>
      <c r="E8" s="6">
        <v>17.600000000000001</v>
      </c>
      <c r="F8" s="7">
        <v>18.2</v>
      </c>
    </row>
    <row r="9" spans="2:11">
      <c r="C9" s="108"/>
      <c r="D9" s="5">
        <v>11.5</v>
      </c>
      <c r="E9" s="6">
        <v>17.100000000000001</v>
      </c>
      <c r="F9" s="7">
        <v>18.899999999999999</v>
      </c>
    </row>
    <row r="10" spans="2:11">
      <c r="B10" t="s">
        <v>62</v>
      </c>
      <c r="C10" s="108"/>
      <c r="D10" s="5">
        <v>13.6</v>
      </c>
      <c r="E10" s="6">
        <v>17.600000000000001</v>
      </c>
      <c r="F10" s="7">
        <v>18.2</v>
      </c>
    </row>
    <row r="11" spans="2:11">
      <c r="C11" s="12" t="s">
        <v>5</v>
      </c>
      <c r="D11" s="13">
        <f>AVERAGE(D7:D10)</f>
        <v>13.475</v>
      </c>
      <c r="E11" s="13">
        <f t="shared" ref="E11:F11" si="0">AVERAGE(E7:E10)</f>
        <v>17.600000000000001</v>
      </c>
      <c r="F11" s="13">
        <f t="shared" si="0"/>
        <v>18.224999999999998</v>
      </c>
      <c r="G11" s="15">
        <f>AVERAGE(D7:F10)</f>
        <v>16.433333333333334</v>
      </c>
      <c r="H11" t="s">
        <v>60</v>
      </c>
    </row>
    <row r="12" spans="2:11">
      <c r="C12" s="108">
        <v>2</v>
      </c>
      <c r="D12" s="5">
        <v>12.6</v>
      </c>
      <c r="E12" s="6">
        <v>10.5</v>
      </c>
      <c r="F12" s="7">
        <v>15.7</v>
      </c>
    </row>
    <row r="13" spans="2:11">
      <c r="C13" s="108"/>
      <c r="D13" s="5">
        <v>11.2</v>
      </c>
      <c r="E13" s="6">
        <v>12.8</v>
      </c>
      <c r="F13" s="7">
        <v>17.5</v>
      </c>
    </row>
    <row r="14" spans="2:11">
      <c r="C14" s="108"/>
      <c r="D14" s="5">
        <v>11</v>
      </c>
      <c r="E14" s="6">
        <v>8.3000000000000007</v>
      </c>
      <c r="F14" s="7">
        <v>16.7</v>
      </c>
    </row>
    <row r="15" spans="2:11">
      <c r="C15" s="109"/>
      <c r="D15" s="8">
        <v>12.1</v>
      </c>
      <c r="E15" s="9">
        <v>9.1</v>
      </c>
      <c r="F15" s="10">
        <v>16.600000000000001</v>
      </c>
    </row>
    <row r="16" spans="2:11">
      <c r="C16" s="14" t="s">
        <v>5</v>
      </c>
      <c r="D16" s="13">
        <f>AVERAGE(D12:D15)</f>
        <v>11.725</v>
      </c>
      <c r="E16" s="13">
        <f t="shared" ref="E16" si="1">AVERAGE(E12:E15)</f>
        <v>10.175000000000001</v>
      </c>
      <c r="F16" s="13">
        <f t="shared" ref="F16" si="2">AVERAGE(F12:F15)</f>
        <v>16.625</v>
      </c>
      <c r="G16" s="15">
        <f>AVERAGE(D12:F15)</f>
        <v>12.841666666666667</v>
      </c>
      <c r="K16" t="s">
        <v>110</v>
      </c>
    </row>
    <row r="17" spans="3:18">
      <c r="C17" s="48" t="s">
        <v>5</v>
      </c>
      <c r="D17" s="49">
        <f>AVERAGE(D7:D10,D12:D15)</f>
        <v>12.6</v>
      </c>
      <c r="E17" s="49">
        <f t="shared" ref="E17:F17" si="3">AVERAGE(E7:E10,E12:E15)</f>
        <v>13.887499999999999</v>
      </c>
      <c r="F17" s="49">
        <f t="shared" si="3"/>
        <v>17.425000000000001</v>
      </c>
      <c r="G17" s="85">
        <f>AVERAGE(D7:F10,D12:F15)</f>
        <v>14.637500000000001</v>
      </c>
      <c r="H17" t="s">
        <v>6</v>
      </c>
      <c r="I17" t="s">
        <v>15</v>
      </c>
      <c r="J17">
        <v>3</v>
      </c>
    </row>
    <row r="18" spans="3:18">
      <c r="D18" t="s">
        <v>61</v>
      </c>
      <c r="I18" t="s">
        <v>14</v>
      </c>
      <c r="J18">
        <v>2</v>
      </c>
    </row>
    <row r="19" spans="3:18">
      <c r="I19" t="s">
        <v>13</v>
      </c>
      <c r="J19">
        <v>4</v>
      </c>
    </row>
    <row r="20" spans="3:18">
      <c r="C20" t="s">
        <v>8</v>
      </c>
      <c r="F20" t="s">
        <v>53</v>
      </c>
    </row>
    <row r="21" spans="3:18">
      <c r="C21" s="106" t="s">
        <v>0</v>
      </c>
      <c r="D21" s="101" t="s">
        <v>4</v>
      </c>
      <c r="E21" s="101"/>
      <c r="F21" s="101"/>
      <c r="G21" s="104" t="s">
        <v>5</v>
      </c>
      <c r="I21" s="33" t="s">
        <v>28</v>
      </c>
    </row>
    <row r="22" spans="3:18">
      <c r="C22" s="106"/>
      <c r="D22" s="24" t="s">
        <v>1</v>
      </c>
      <c r="E22" s="24" t="s">
        <v>2</v>
      </c>
      <c r="F22" s="24" t="s">
        <v>3</v>
      </c>
      <c r="G22" s="105"/>
      <c r="I22" s="17" t="s">
        <v>9</v>
      </c>
      <c r="J22" s="17" t="s">
        <v>10</v>
      </c>
      <c r="K22" s="34" t="s">
        <v>54</v>
      </c>
    </row>
    <row r="23" spans="3:18">
      <c r="C23" s="25" t="s">
        <v>32</v>
      </c>
      <c r="D23" s="28">
        <v>13.475</v>
      </c>
      <c r="E23" s="28">
        <v>17.600000000000001</v>
      </c>
      <c r="F23" s="29">
        <v>18.224999999999998</v>
      </c>
      <c r="G23" s="38">
        <v>16.433333333333334</v>
      </c>
      <c r="I23" s="50">
        <f>G23-G25</f>
        <v>1.7958333333333343</v>
      </c>
      <c r="J23">
        <f>+I23*I23</f>
        <v>3.2250173611111146</v>
      </c>
    </row>
    <row r="24" spans="3:18">
      <c r="C24" s="26" t="s">
        <v>33</v>
      </c>
      <c r="D24" s="30">
        <v>11.725</v>
      </c>
      <c r="E24" s="30">
        <v>10.175000000000001</v>
      </c>
      <c r="F24" s="31">
        <v>16.625</v>
      </c>
      <c r="G24" s="39">
        <v>12.841666666666667</v>
      </c>
      <c r="I24" s="50">
        <f>+G24-G25</f>
        <v>-1.7958333333333325</v>
      </c>
      <c r="J24">
        <f>+I24*I24</f>
        <v>3.2250173611111079</v>
      </c>
      <c r="K24" t="s">
        <v>20</v>
      </c>
    </row>
    <row r="25" spans="3:18">
      <c r="C25" s="27" t="s">
        <v>5</v>
      </c>
      <c r="D25" s="35">
        <v>12.6</v>
      </c>
      <c r="E25" s="36">
        <v>13.887499999999999</v>
      </c>
      <c r="F25" s="37">
        <v>17.425000000000001</v>
      </c>
      <c r="G25" s="16">
        <v>14.637499999999999</v>
      </c>
      <c r="I25" t="s">
        <v>11</v>
      </c>
      <c r="J25">
        <f>+J23+J24</f>
        <v>6.4500347222222221</v>
      </c>
    </row>
    <row r="26" spans="3:18">
      <c r="C26" t="s">
        <v>111</v>
      </c>
      <c r="I26" t="s">
        <v>51</v>
      </c>
      <c r="K26">
        <f>3*4</f>
        <v>12</v>
      </c>
    </row>
    <row r="27" spans="3:18">
      <c r="C27" s="90" t="s">
        <v>27</v>
      </c>
      <c r="I27" t="s">
        <v>52</v>
      </c>
      <c r="K27" s="89">
        <f>+J25*K26</f>
        <v>77.400416666666672</v>
      </c>
    </row>
    <row r="28" spans="3:18">
      <c r="C28" t="s">
        <v>9</v>
      </c>
      <c r="D28" s="32">
        <f>+D25-$G$25</f>
        <v>-2.0374999999999996</v>
      </c>
      <c r="E28" s="32">
        <f>+E25-$G$25</f>
        <v>-0.75</v>
      </c>
      <c r="F28" s="32">
        <f>+F25-$G$25</f>
        <v>2.7875000000000014</v>
      </c>
      <c r="G28" s="32"/>
    </row>
    <row r="29" spans="3:18">
      <c r="C29" t="s">
        <v>16</v>
      </c>
      <c r="D29" s="32">
        <f>+D28*D28</f>
        <v>4.1514062499999982</v>
      </c>
      <c r="E29" s="32">
        <f t="shared" ref="E29" si="4">+E28*E28</f>
        <v>0.5625</v>
      </c>
      <c r="F29" s="32">
        <f>+F28*F28</f>
        <v>7.7701562500000083</v>
      </c>
      <c r="G29" s="32">
        <f>SUM(D29:F29)</f>
        <v>12.484062500000007</v>
      </c>
    </row>
    <row r="30" spans="3:18">
      <c r="D30" t="s">
        <v>17</v>
      </c>
      <c r="F30" t="s">
        <v>12</v>
      </c>
      <c r="G30" s="11">
        <f>2*4*G29</f>
        <v>99.872500000000059</v>
      </c>
      <c r="R30" t="s">
        <v>108</v>
      </c>
    </row>
    <row r="31" spans="3:18">
      <c r="F31">
        <v>2</v>
      </c>
      <c r="G31">
        <v>4</v>
      </c>
      <c r="L31" t="s">
        <v>109</v>
      </c>
    </row>
    <row r="32" spans="3:18">
      <c r="G32" s="89">
        <f>+G29*F31*G31</f>
        <v>99.872500000000059</v>
      </c>
    </row>
    <row r="33" spans="3:21">
      <c r="C33" t="s">
        <v>18</v>
      </c>
    </row>
    <row r="35" spans="3:21">
      <c r="C35" s="106" t="s">
        <v>0</v>
      </c>
      <c r="D35" s="101" t="s">
        <v>4</v>
      </c>
      <c r="E35" s="101"/>
      <c r="F35" s="101"/>
    </row>
    <row r="36" spans="3:21">
      <c r="C36" s="106"/>
      <c r="D36" s="24" t="s">
        <v>1</v>
      </c>
      <c r="E36" s="24" t="s">
        <v>2</v>
      </c>
      <c r="F36" s="24" t="s">
        <v>3</v>
      </c>
      <c r="H36" s="42" t="s">
        <v>19</v>
      </c>
      <c r="I36" s="43"/>
      <c r="J36" s="44"/>
      <c r="L36" s="42" t="s">
        <v>31</v>
      </c>
      <c r="M36" s="43"/>
      <c r="N36" s="44"/>
      <c r="O36" s="42"/>
      <c r="R36" t="s">
        <v>23</v>
      </c>
    </row>
    <row r="37" spans="3:21">
      <c r="C37" s="107">
        <v>1</v>
      </c>
      <c r="D37" s="2">
        <v>14.3</v>
      </c>
      <c r="E37" s="3">
        <v>18.100000000000001</v>
      </c>
      <c r="F37" s="4">
        <v>17.600000000000001</v>
      </c>
      <c r="H37" s="18">
        <f t="shared" ref="H37:J40" si="5">+D37-D$41</f>
        <v>0.82500000000000107</v>
      </c>
      <c r="I37" s="18">
        <f t="shared" si="5"/>
        <v>0.5</v>
      </c>
      <c r="J37" s="18">
        <f t="shared" si="5"/>
        <v>-0.62499999999999645</v>
      </c>
      <c r="L37" s="18">
        <f>+H37*H37</f>
        <v>0.68062500000000181</v>
      </c>
      <c r="M37" s="18">
        <f t="shared" ref="M37:M45" si="6">+I37*I37</f>
        <v>0.25</v>
      </c>
      <c r="N37" s="18">
        <f t="shared" ref="N37:N45" si="7">+J37*J37</f>
        <v>0.39062499999999556</v>
      </c>
      <c r="R37">
        <f>+POWER(D37-$G$25,2)</f>
        <v>0.11390624999999904</v>
      </c>
      <c r="S37">
        <f t="shared" ref="S37:S40" si="8">+POWER(E37-$G$25,2)</f>
        <v>11.988906250000015</v>
      </c>
      <c r="T37">
        <f t="shared" ref="T37:T40" si="9">+POWER(F37-$G$25,2)</f>
        <v>8.7764062500000133</v>
      </c>
    </row>
    <row r="38" spans="3:21">
      <c r="C38" s="108"/>
      <c r="D38" s="5">
        <v>14.5</v>
      </c>
      <c r="E38" s="6">
        <v>17.600000000000001</v>
      </c>
      <c r="F38" s="7">
        <v>18.2</v>
      </c>
      <c r="H38" s="18">
        <f t="shared" si="5"/>
        <v>1.0250000000000004</v>
      </c>
      <c r="I38" s="18">
        <f t="shared" si="5"/>
        <v>0</v>
      </c>
      <c r="J38" s="18">
        <f t="shared" si="5"/>
        <v>-2.4999999999998579E-2</v>
      </c>
      <c r="L38" s="18">
        <f t="shared" ref="L38:L45" si="10">+H38*H38</f>
        <v>1.0506250000000008</v>
      </c>
      <c r="M38" s="18">
        <f t="shared" si="6"/>
        <v>0</v>
      </c>
      <c r="N38" s="18">
        <f t="shared" si="7"/>
        <v>6.24999999999929E-4</v>
      </c>
      <c r="R38">
        <f t="shared" ref="R38:R40" si="11">+POWER(D38-$G$25,2)</f>
        <v>1.8906249999999805E-2</v>
      </c>
      <c r="S38">
        <f t="shared" si="8"/>
        <v>8.7764062500000133</v>
      </c>
      <c r="T38">
        <f t="shared" si="9"/>
        <v>12.69140625</v>
      </c>
    </row>
    <row r="39" spans="3:21">
      <c r="C39" s="108"/>
      <c r="D39" s="5">
        <v>11.5</v>
      </c>
      <c r="E39" s="6">
        <v>17.100000000000001</v>
      </c>
      <c r="F39" s="7">
        <v>18.899999999999999</v>
      </c>
      <c r="H39" s="18">
        <f t="shared" si="5"/>
        <v>-1.9749999999999996</v>
      </c>
      <c r="I39" s="18">
        <f t="shared" si="5"/>
        <v>-0.5</v>
      </c>
      <c r="J39" s="18">
        <f t="shared" si="5"/>
        <v>0.67500000000000071</v>
      </c>
      <c r="L39" s="18">
        <f t="shared" si="10"/>
        <v>3.9006249999999985</v>
      </c>
      <c r="M39" s="18">
        <f t="shared" si="6"/>
        <v>0.25</v>
      </c>
      <c r="N39" s="18">
        <f t="shared" si="7"/>
        <v>0.45562500000000095</v>
      </c>
      <c r="R39">
        <f t="shared" si="11"/>
        <v>9.8439062499999963</v>
      </c>
      <c r="S39">
        <f t="shared" si="8"/>
        <v>6.0639062500000103</v>
      </c>
      <c r="T39">
        <f t="shared" si="9"/>
        <v>18.168906249999996</v>
      </c>
    </row>
    <row r="40" spans="3:21">
      <c r="C40" s="108"/>
      <c r="D40" s="5">
        <v>13.6</v>
      </c>
      <c r="E40" s="6">
        <v>17.600000000000001</v>
      </c>
      <c r="F40" s="7">
        <v>18.2</v>
      </c>
      <c r="H40" s="18">
        <f t="shared" si="5"/>
        <v>0.125</v>
      </c>
      <c r="I40" s="18">
        <f t="shared" si="5"/>
        <v>0</v>
      </c>
      <c r="J40" s="18">
        <f t="shared" si="5"/>
        <v>-2.4999999999998579E-2</v>
      </c>
      <c r="L40" s="18">
        <f t="shared" si="10"/>
        <v>1.5625E-2</v>
      </c>
      <c r="M40" s="18">
        <f t="shared" si="6"/>
        <v>0</v>
      </c>
      <c r="N40" s="18">
        <f t="shared" si="7"/>
        <v>6.24999999999929E-4</v>
      </c>
      <c r="O40" s="18"/>
      <c r="R40">
        <f t="shared" si="11"/>
        <v>1.0764062499999993</v>
      </c>
      <c r="S40">
        <f t="shared" si="8"/>
        <v>8.7764062500000133</v>
      </c>
      <c r="T40">
        <f t="shared" si="9"/>
        <v>12.69140625</v>
      </c>
    </row>
    <row r="41" spans="3:21">
      <c r="C41" s="12" t="s">
        <v>5</v>
      </c>
      <c r="D41" s="13">
        <f>AVERAGE(D37:D40)</f>
        <v>13.475</v>
      </c>
      <c r="E41" s="13">
        <f t="shared" ref="E41:F41" si="12">AVERAGE(E37:E40)</f>
        <v>17.600000000000001</v>
      </c>
      <c r="F41" s="13">
        <f t="shared" si="12"/>
        <v>18.224999999999998</v>
      </c>
      <c r="L41" s="18"/>
      <c r="M41" s="18"/>
      <c r="N41" s="18"/>
    </row>
    <row r="42" spans="3:21">
      <c r="C42" s="108">
        <v>2</v>
      </c>
      <c r="D42" s="5">
        <v>12.6</v>
      </c>
      <c r="E42" s="6">
        <v>10.5</v>
      </c>
      <c r="F42" s="7">
        <v>15.7</v>
      </c>
      <c r="H42" s="18">
        <f>+D42-D$46</f>
        <v>0.875</v>
      </c>
      <c r="I42" s="18">
        <f>+E42-E$46</f>
        <v>0.32499999999999929</v>
      </c>
      <c r="J42" s="18">
        <f>+F42-F$46</f>
        <v>-0.92500000000000071</v>
      </c>
      <c r="L42" s="18">
        <f t="shared" si="10"/>
        <v>0.765625</v>
      </c>
      <c r="M42" s="18">
        <f t="shared" si="6"/>
        <v>0.10562499999999954</v>
      </c>
      <c r="N42" s="18">
        <f t="shared" si="7"/>
        <v>0.8556250000000013</v>
      </c>
      <c r="R42">
        <f>+POWER(D42-$G$25,2)</f>
        <v>4.1514062499999982</v>
      </c>
      <c r="S42">
        <f t="shared" ref="S42:S45" si="13">+POWER(E42-$G$25,2)</f>
        <v>17.118906249999995</v>
      </c>
      <c r="T42">
        <f t="shared" ref="T42:T45" si="14">+POWER(F42-$G$25,2)</f>
        <v>1.12890625</v>
      </c>
    </row>
    <row r="43" spans="3:21">
      <c r="C43" s="108"/>
      <c r="D43" s="5">
        <v>11.2</v>
      </c>
      <c r="E43" s="6">
        <v>12.8</v>
      </c>
      <c r="F43" s="7">
        <v>17.5</v>
      </c>
      <c r="H43" s="18">
        <f t="shared" ref="H43:H45" si="15">+D43-D$46</f>
        <v>-0.52500000000000036</v>
      </c>
      <c r="I43" s="18">
        <f t="shared" ref="I43:J45" si="16">+E43-E$46</f>
        <v>2.625</v>
      </c>
      <c r="J43" s="18">
        <f t="shared" si="16"/>
        <v>0.875</v>
      </c>
      <c r="L43" s="18">
        <f t="shared" si="10"/>
        <v>0.2756250000000004</v>
      </c>
      <c r="M43" s="18">
        <f t="shared" si="6"/>
        <v>6.890625</v>
      </c>
      <c r="N43" s="18">
        <f t="shared" si="7"/>
        <v>0.765625</v>
      </c>
      <c r="R43">
        <f>+POWER(D43-$G$25,2)</f>
        <v>11.81640625</v>
      </c>
      <c r="S43">
        <f t="shared" si="13"/>
        <v>3.3764062499999947</v>
      </c>
      <c r="T43">
        <f t="shared" si="14"/>
        <v>8.1939062500000048</v>
      </c>
    </row>
    <row r="44" spans="3:21">
      <c r="C44" s="108"/>
      <c r="D44" s="5">
        <v>11</v>
      </c>
      <c r="E44" s="6">
        <v>8.3000000000000007</v>
      </c>
      <c r="F44" s="7">
        <v>16.7</v>
      </c>
      <c r="H44" s="18">
        <f t="shared" si="15"/>
        <v>-0.72499999999999964</v>
      </c>
      <c r="I44" s="18">
        <f t="shared" si="16"/>
        <v>-1.875</v>
      </c>
      <c r="J44" s="18">
        <f t="shared" si="16"/>
        <v>7.4999999999999289E-2</v>
      </c>
      <c r="L44" s="18">
        <f t="shared" si="10"/>
        <v>0.52562499999999945</v>
      </c>
      <c r="M44" s="18">
        <f t="shared" si="6"/>
        <v>3.515625</v>
      </c>
      <c r="N44" s="18">
        <f t="shared" si="7"/>
        <v>5.6249999999998931E-3</v>
      </c>
      <c r="R44">
        <f>+POWER(D44-$G$25,2)</f>
        <v>13.231406249999996</v>
      </c>
      <c r="S44">
        <f t="shared" si="13"/>
        <v>40.163906249999982</v>
      </c>
      <c r="T44">
        <f>+POWER(F44-$G$25,2)</f>
        <v>4.25390625</v>
      </c>
    </row>
    <row r="45" spans="3:21">
      <c r="C45" s="109"/>
      <c r="D45" s="8">
        <v>12.1</v>
      </c>
      <c r="E45" s="9">
        <v>9.1</v>
      </c>
      <c r="F45" s="10">
        <v>16.600000000000001</v>
      </c>
      <c r="H45" s="18">
        <f t="shared" si="15"/>
        <v>0.375</v>
      </c>
      <c r="I45" s="18">
        <f t="shared" si="16"/>
        <v>-1.0750000000000011</v>
      </c>
      <c r="J45" s="18">
        <f t="shared" si="16"/>
        <v>-2.4999999999998579E-2</v>
      </c>
      <c r="L45" s="18">
        <f t="shared" si="10"/>
        <v>0.140625</v>
      </c>
      <c r="M45" s="18">
        <f t="shared" si="6"/>
        <v>1.1556250000000023</v>
      </c>
      <c r="N45" s="18">
        <f t="shared" si="7"/>
        <v>6.24999999999929E-4</v>
      </c>
      <c r="O45" s="18"/>
      <c r="R45">
        <f>+POWER(D45-$G$25,2)</f>
        <v>6.4389062499999978</v>
      </c>
      <c r="S45">
        <f t="shared" si="13"/>
        <v>30.663906249999997</v>
      </c>
      <c r="T45">
        <f t="shared" si="14"/>
        <v>3.8514062500000086</v>
      </c>
    </row>
    <row r="46" spans="3:21">
      <c r="C46" s="14" t="s">
        <v>5</v>
      </c>
      <c r="D46" s="13">
        <f>AVERAGE(D42:D45)</f>
        <v>11.725</v>
      </c>
      <c r="E46" s="13">
        <f t="shared" ref="E46:F46" si="17">AVERAGE(E42:E45)</f>
        <v>10.175000000000001</v>
      </c>
      <c r="F46" s="13">
        <f t="shared" si="17"/>
        <v>16.625</v>
      </c>
      <c r="O46" s="91">
        <f>SUM(L37:N45)</f>
        <v>21.997499999999995</v>
      </c>
      <c r="U46" s="87">
        <f>SUM(R37:T45)</f>
        <v>243.37625000000003</v>
      </c>
    </row>
    <row r="50" spans="1:19">
      <c r="C50" t="s">
        <v>106</v>
      </c>
    </row>
    <row r="51" spans="1:19">
      <c r="C51" s="106" t="s">
        <v>0</v>
      </c>
      <c r="D51" s="101" t="s">
        <v>4</v>
      </c>
      <c r="E51" s="101"/>
      <c r="F51" s="101"/>
      <c r="G51" s="104" t="s">
        <v>5</v>
      </c>
    </row>
    <row r="52" spans="1:19">
      <c r="C52" s="106"/>
      <c r="D52" s="78" t="s">
        <v>1</v>
      </c>
      <c r="E52" s="78" t="s">
        <v>2</v>
      </c>
      <c r="F52" s="78" t="s">
        <v>3</v>
      </c>
      <c r="G52" s="105"/>
      <c r="K52" s="1" t="s">
        <v>107</v>
      </c>
    </row>
    <row r="53" spans="1:19">
      <c r="B53" t="s">
        <v>62</v>
      </c>
      <c r="C53" s="25" t="s">
        <v>32</v>
      </c>
      <c r="D53" s="28">
        <v>13.475</v>
      </c>
      <c r="E53" s="28">
        <v>17.600000000000001</v>
      </c>
      <c r="F53" s="29">
        <v>18.224999999999998</v>
      </c>
      <c r="G53" s="38">
        <v>16.433333333333334</v>
      </c>
      <c r="H53" t="s">
        <v>60</v>
      </c>
      <c r="K53" s="32">
        <f>D53-$G53-D$55+$G$55</f>
        <v>-0.92083333333333428</v>
      </c>
      <c r="L53" s="32">
        <f t="shared" ref="L53:L54" si="18">E53-$G53-E$55+$G$55</f>
        <v>1.9166666666666679</v>
      </c>
      <c r="M53" s="32">
        <f t="shared" ref="M53:M54" si="19">F53-$G53-F$55+$G$55</f>
        <v>-0.99583333333333712</v>
      </c>
    </row>
    <row r="54" spans="1:19">
      <c r="C54" s="26" t="s">
        <v>33</v>
      </c>
      <c r="D54" s="30">
        <v>11.725</v>
      </c>
      <c r="E54" s="30">
        <v>10.175000000000001</v>
      </c>
      <c r="F54" s="31">
        <v>16.625</v>
      </c>
      <c r="G54" s="39">
        <v>12.841666666666667</v>
      </c>
      <c r="K54" s="32">
        <f t="shared" ref="K54" si="20">D54-$G54-D$55+$G$55</f>
        <v>0.9208333333333325</v>
      </c>
      <c r="L54" s="32">
        <f t="shared" si="18"/>
        <v>-1.9166666666666679</v>
      </c>
      <c r="M54" s="32">
        <f t="shared" si="19"/>
        <v>0.99583333333333179</v>
      </c>
    </row>
    <row r="55" spans="1:19">
      <c r="C55" s="27" t="s">
        <v>5</v>
      </c>
      <c r="D55" s="35">
        <v>12.6</v>
      </c>
      <c r="E55" s="36">
        <v>13.887499999999999</v>
      </c>
      <c r="F55" s="37">
        <v>17.425000000000001</v>
      </c>
      <c r="G55" s="16">
        <v>14.637499999999999</v>
      </c>
      <c r="H55" t="s">
        <v>6</v>
      </c>
      <c r="K55" s="1" t="s">
        <v>16</v>
      </c>
    </row>
    <row r="56" spans="1:19">
      <c r="D56" s="66" t="s">
        <v>61</v>
      </c>
      <c r="K56" s="11">
        <f>K53*K53</f>
        <v>0.84793402777777949</v>
      </c>
      <c r="L56" s="11">
        <f t="shared" ref="L56:M56" si="21">L53*L53</f>
        <v>3.6736111111111156</v>
      </c>
      <c r="M56" s="11">
        <f t="shared" si="21"/>
        <v>0.9916840277777853</v>
      </c>
    </row>
    <row r="57" spans="1:19">
      <c r="D57" s="66"/>
      <c r="K57" s="11">
        <f t="shared" ref="K57:M57" si="22">K54*K54</f>
        <v>0.84793402777777627</v>
      </c>
      <c r="L57" s="11">
        <f t="shared" si="22"/>
        <v>3.6736111111111156</v>
      </c>
      <c r="M57" s="11">
        <f t="shared" si="22"/>
        <v>0.99168402777777476</v>
      </c>
    </row>
    <row r="58" spans="1:19">
      <c r="D58" s="66"/>
      <c r="J58" s="1" t="s">
        <v>37</v>
      </c>
      <c r="K58" s="11">
        <f>SUM(K56:M57)</f>
        <v>11.026458333333347</v>
      </c>
    </row>
    <row r="59" spans="1:19">
      <c r="D59" s="66"/>
      <c r="J59" s="1" t="s">
        <v>51</v>
      </c>
      <c r="K59" s="86">
        <f>K58*4</f>
        <v>44.105833333333386</v>
      </c>
    </row>
    <row r="60" spans="1:19">
      <c r="D60" s="66"/>
    </row>
    <row r="61" spans="1:19">
      <c r="K61" s="47"/>
      <c r="L61" s="47"/>
      <c r="M61" s="47"/>
      <c r="N61" s="47"/>
      <c r="O61" s="47"/>
      <c r="P61" s="47"/>
      <c r="Q61" s="47"/>
      <c r="R61" s="47"/>
      <c r="S61" s="47"/>
    </row>
    <row r="62" spans="1:19">
      <c r="D62" s="103" t="s">
        <v>59</v>
      </c>
      <c r="E62" s="103"/>
      <c r="F62" s="103"/>
      <c r="G62" s="103"/>
      <c r="H62" s="103"/>
      <c r="I62" s="103"/>
      <c r="K62" s="47"/>
      <c r="L62" s="47"/>
      <c r="M62" s="47"/>
      <c r="N62" s="47"/>
      <c r="O62" s="47"/>
      <c r="P62" s="47"/>
      <c r="Q62" s="47"/>
      <c r="R62" s="47"/>
      <c r="S62" s="47"/>
    </row>
    <row r="63" spans="1:19" ht="30">
      <c r="D63" s="40" t="s">
        <v>55</v>
      </c>
      <c r="E63" s="41" t="s">
        <v>56</v>
      </c>
      <c r="F63" s="41" t="s">
        <v>24</v>
      </c>
      <c r="G63" s="41" t="s">
        <v>57</v>
      </c>
      <c r="H63" s="41" t="s">
        <v>25</v>
      </c>
      <c r="I63" s="41" t="s">
        <v>26</v>
      </c>
      <c r="K63" s="102"/>
      <c r="L63" s="102"/>
      <c r="M63" s="102"/>
      <c r="N63" s="102"/>
      <c r="O63" s="102"/>
      <c r="P63" s="102"/>
      <c r="Q63" s="102"/>
      <c r="R63" s="102"/>
      <c r="S63" s="102"/>
    </row>
    <row r="64" spans="1:19" ht="15.75">
      <c r="A64" t="s">
        <v>114</v>
      </c>
      <c r="C64" t="s">
        <v>117</v>
      </c>
      <c r="D64" s="1" t="s">
        <v>0</v>
      </c>
      <c r="E64" s="23">
        <f>+K27</f>
        <v>77.400416666666672</v>
      </c>
      <c r="F64">
        <f>2-1</f>
        <v>1</v>
      </c>
      <c r="G64" s="50">
        <f>+E64/F64</f>
        <v>77.400416666666672</v>
      </c>
      <c r="H64" s="50">
        <f>G64/$G$67</f>
        <v>63.33481077395161</v>
      </c>
      <c r="I64" s="92">
        <f>_xlfn.F.DIST.RT(H64,F64,$F$67)</f>
        <v>2.6397934713834756E-7</v>
      </c>
      <c r="J64" s="19"/>
      <c r="K64" s="19"/>
      <c r="L64" s="19"/>
    </row>
    <row r="65" spans="1:12" ht="15.75">
      <c r="A65" t="s">
        <v>115</v>
      </c>
      <c r="C65" t="s">
        <v>118</v>
      </c>
      <c r="D65" s="1" t="s">
        <v>21</v>
      </c>
      <c r="E65" s="23">
        <f>+G32</f>
        <v>99.872500000000059</v>
      </c>
      <c r="F65">
        <f>3-1</f>
        <v>2</v>
      </c>
      <c r="G65" s="50">
        <f t="shared" ref="G65:G67" si="23">+E65/F65</f>
        <v>49.93625000000003</v>
      </c>
      <c r="H65" s="50">
        <f t="shared" ref="H65:H66" si="24">G65/$G$67</f>
        <v>40.861575178997647</v>
      </c>
      <c r="I65" s="92">
        <f t="shared" ref="I65:I66" si="25">_xlfn.F.DIST.RT(H65,F65,$F$67)</f>
        <v>2.0337081880077683E-7</v>
      </c>
      <c r="J65" s="19"/>
      <c r="K65" s="19"/>
      <c r="L65" s="19"/>
    </row>
    <row r="66" spans="1:12" ht="15.75">
      <c r="A66" t="s">
        <v>116</v>
      </c>
      <c r="C66" t="s">
        <v>119</v>
      </c>
      <c r="D66" s="1" t="s">
        <v>58</v>
      </c>
      <c r="E66" s="23">
        <f>+K59</f>
        <v>44.105833333333386</v>
      </c>
      <c r="F66">
        <f>(2-1)*(3-1)</f>
        <v>2</v>
      </c>
      <c r="G66" s="50">
        <f t="shared" si="23"/>
        <v>22.052916666666693</v>
      </c>
      <c r="H66" s="50">
        <f t="shared" si="24"/>
        <v>18.045346062052534</v>
      </c>
      <c r="I66" s="92">
        <f t="shared" si="25"/>
        <v>5.0043733080061168E-5</v>
      </c>
      <c r="J66" s="19"/>
      <c r="K66" s="19"/>
      <c r="L66" s="19"/>
    </row>
    <row r="67" spans="1:12">
      <c r="D67" s="1" t="s">
        <v>22</v>
      </c>
      <c r="E67" s="23">
        <f>+O46</f>
        <v>21.997499999999995</v>
      </c>
      <c r="F67">
        <f>2*3*(4-1)</f>
        <v>18</v>
      </c>
      <c r="G67" s="93">
        <f t="shared" si="23"/>
        <v>1.222083333333333</v>
      </c>
    </row>
    <row r="68" spans="1:12">
      <c r="D68" s="1" t="s">
        <v>23</v>
      </c>
      <c r="E68" s="23">
        <f>SUM(E64:E67)</f>
        <v>243.37625000000011</v>
      </c>
      <c r="F68">
        <f>2*3*4-1</f>
        <v>23</v>
      </c>
    </row>
    <row r="69" spans="1:12">
      <c r="E69" s="72"/>
    </row>
    <row r="70" spans="1:12">
      <c r="D70" s="46"/>
      <c r="E70" s="45"/>
    </row>
    <row r="72" spans="1:12">
      <c r="E72" s="11"/>
      <c r="F72" s="18"/>
    </row>
  </sheetData>
  <mergeCells count="16">
    <mergeCell ref="C5:C6"/>
    <mergeCell ref="D5:F5"/>
    <mergeCell ref="C7:C10"/>
    <mergeCell ref="C12:C15"/>
    <mergeCell ref="C21:C22"/>
    <mergeCell ref="D21:F21"/>
    <mergeCell ref="K63:S63"/>
    <mergeCell ref="D62:I62"/>
    <mergeCell ref="G21:G22"/>
    <mergeCell ref="C35:C36"/>
    <mergeCell ref="D35:F35"/>
    <mergeCell ref="C37:C40"/>
    <mergeCell ref="C42:C45"/>
    <mergeCell ref="C51:C52"/>
    <mergeCell ref="D51:F51"/>
    <mergeCell ref="G51:G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98"/>
  <sheetViews>
    <sheetView zoomScaleNormal="100" workbookViewId="0">
      <selection activeCell="L86" sqref="L86"/>
    </sheetView>
  </sheetViews>
  <sheetFormatPr baseColWidth="10" defaultRowHeight="15"/>
  <cols>
    <col min="1" max="1" width="4.7109375" customWidth="1"/>
    <col min="2" max="2" width="14.140625" customWidth="1"/>
  </cols>
  <sheetData>
    <row r="2" spans="2:10">
      <c r="C2" s="1" t="s">
        <v>67</v>
      </c>
    </row>
    <row r="8" spans="2:10">
      <c r="B8" s="51" t="s">
        <v>0</v>
      </c>
      <c r="C8" s="51" t="s">
        <v>21</v>
      </c>
      <c r="D8" s="51" t="s">
        <v>68</v>
      </c>
      <c r="E8" s="51" t="s">
        <v>7</v>
      </c>
      <c r="F8" s="51" t="s">
        <v>69</v>
      </c>
      <c r="G8" s="51" t="s">
        <v>70</v>
      </c>
      <c r="H8" s="51" t="s">
        <v>71</v>
      </c>
      <c r="I8" s="51" t="s">
        <v>72</v>
      </c>
      <c r="J8" s="51" t="s">
        <v>73</v>
      </c>
    </row>
    <row r="9" spans="2:10">
      <c r="B9">
        <v>1</v>
      </c>
      <c r="C9">
        <v>1</v>
      </c>
      <c r="D9">
        <v>14.3</v>
      </c>
      <c r="F9" s="50">
        <f>ABS(D9-E$12)</f>
        <v>0.82500000000000107</v>
      </c>
      <c r="I9" s="52"/>
      <c r="J9" s="52">
        <f>POWER(F9-$G$12,2)</f>
        <v>2.6406249999999739E-2</v>
      </c>
    </row>
    <row r="10" spans="2:10">
      <c r="B10">
        <v>1</v>
      </c>
      <c r="C10">
        <v>1</v>
      </c>
      <c r="D10">
        <v>14.5</v>
      </c>
      <c r="F10" s="50">
        <f t="shared" ref="F10:F11" si="0">ABS(D10-E$12)</f>
        <v>1.0250000000000004</v>
      </c>
      <c r="I10" s="52"/>
      <c r="J10" s="52">
        <f>POWER(F10-$G$12,2)</f>
        <v>1.4062500000000067E-3</v>
      </c>
    </row>
    <row r="11" spans="2:10">
      <c r="B11">
        <v>1</v>
      </c>
      <c r="C11">
        <v>1</v>
      </c>
      <c r="D11">
        <v>11.5</v>
      </c>
      <c r="F11" s="50">
        <f t="shared" si="0"/>
        <v>1.9749999999999996</v>
      </c>
      <c r="I11" s="52"/>
      <c r="J11" s="52">
        <f>POWER(F11-$G$12,2)</f>
        <v>0.97515624999999873</v>
      </c>
    </row>
    <row r="12" spans="2:10">
      <c r="B12">
        <v>1</v>
      </c>
      <c r="C12">
        <v>1</v>
      </c>
      <c r="D12">
        <v>13.6</v>
      </c>
      <c r="E12">
        <f>AVERAGE(D9:D12)</f>
        <v>13.475</v>
      </c>
      <c r="F12" s="50">
        <f>ABS(D12-E$12)</f>
        <v>0.125</v>
      </c>
      <c r="G12" s="50">
        <f>AVERAGE(F9:F12)</f>
        <v>0.98750000000000027</v>
      </c>
      <c r="H12">
        <v>4</v>
      </c>
      <c r="I12" s="52">
        <f>+H12*POWER(G12-$G$34,2)</f>
        <v>0.35006944444444565</v>
      </c>
      <c r="J12" s="52">
        <f>POWER(F12-$G$12,2)</f>
        <v>0.74390625000000044</v>
      </c>
    </row>
    <row r="13" spans="2:10">
      <c r="B13">
        <v>1</v>
      </c>
      <c r="C13">
        <v>2</v>
      </c>
      <c r="D13">
        <v>18.100000000000001</v>
      </c>
      <c r="F13" s="50">
        <f>ABS(D13-E$16)</f>
        <v>0.5</v>
      </c>
      <c r="I13" s="52"/>
      <c r="J13" s="52">
        <f>POWER(F13-$G$16,2)</f>
        <v>6.25E-2</v>
      </c>
    </row>
    <row r="14" spans="2:10">
      <c r="B14">
        <v>1</v>
      </c>
      <c r="C14">
        <v>2</v>
      </c>
      <c r="D14">
        <v>17.600000000000001</v>
      </c>
      <c r="F14" s="50">
        <f t="shared" ref="F14:F16" si="1">ABS(D14-E$16)</f>
        <v>0</v>
      </c>
      <c r="I14" s="52"/>
      <c r="J14" s="52">
        <f t="shared" ref="J14:J16" si="2">POWER(F14-$G$16,2)</f>
        <v>6.25E-2</v>
      </c>
    </row>
    <row r="15" spans="2:10">
      <c r="B15">
        <v>1</v>
      </c>
      <c r="C15">
        <v>2</v>
      </c>
      <c r="D15">
        <v>17.100000000000001</v>
      </c>
      <c r="F15" s="50">
        <f t="shared" si="1"/>
        <v>0.5</v>
      </c>
      <c r="I15" s="52"/>
      <c r="J15" s="52">
        <f t="shared" si="2"/>
        <v>6.25E-2</v>
      </c>
    </row>
    <row r="16" spans="2:10">
      <c r="B16">
        <v>1</v>
      </c>
      <c r="C16">
        <v>2</v>
      </c>
      <c r="D16">
        <v>17.600000000000001</v>
      </c>
      <c r="E16">
        <f>AVERAGE(D13:D16)</f>
        <v>17.600000000000001</v>
      </c>
      <c r="F16" s="50">
        <f t="shared" si="1"/>
        <v>0</v>
      </c>
      <c r="G16" s="50">
        <f>AVERAGE(F13:F16)</f>
        <v>0.25</v>
      </c>
      <c r="H16">
        <v>4</v>
      </c>
      <c r="I16" s="52">
        <f>+H16*POWER(G16-$G$34,2)</f>
        <v>0.78027777777777696</v>
      </c>
      <c r="J16" s="52">
        <f t="shared" si="2"/>
        <v>6.25E-2</v>
      </c>
    </row>
    <row r="17" spans="2:10">
      <c r="B17">
        <v>1</v>
      </c>
      <c r="C17">
        <v>3</v>
      </c>
      <c r="D17">
        <v>17.600000000000001</v>
      </c>
      <c r="F17" s="50">
        <f>ABS(D17-E$20)</f>
        <v>0.62499999999999645</v>
      </c>
      <c r="I17" s="52"/>
      <c r="J17" s="52">
        <f>POWER(F17-$G$20,2)</f>
        <v>8.2656249999998779E-2</v>
      </c>
    </row>
    <row r="18" spans="2:10">
      <c r="B18">
        <v>1</v>
      </c>
      <c r="C18">
        <v>3</v>
      </c>
      <c r="D18">
        <v>18.2</v>
      </c>
      <c r="F18" s="50">
        <f t="shared" ref="F18:F20" si="3">ABS(D18-E$20)</f>
        <v>2.4999999999998579E-2</v>
      </c>
      <c r="I18" s="52"/>
      <c r="J18" s="52">
        <f t="shared" ref="J18:J20" si="4">POWER(F18-$G$20,2)</f>
        <v>9.765625E-2</v>
      </c>
    </row>
    <row r="19" spans="2:10">
      <c r="B19">
        <v>1</v>
      </c>
      <c r="C19">
        <v>3</v>
      </c>
      <c r="D19">
        <v>18.899999999999999</v>
      </c>
      <c r="F19" s="50">
        <f t="shared" si="3"/>
        <v>0.67500000000000071</v>
      </c>
      <c r="I19" s="52"/>
      <c r="J19" s="52">
        <f t="shared" si="4"/>
        <v>0.11390625000000144</v>
      </c>
    </row>
    <row r="20" spans="2:10">
      <c r="B20">
        <v>1</v>
      </c>
      <c r="C20">
        <v>3</v>
      </c>
      <c r="D20">
        <v>18.2</v>
      </c>
      <c r="E20">
        <f>AVERAGE(D17:D20)</f>
        <v>18.224999999999998</v>
      </c>
      <c r="F20" s="50">
        <f t="shared" si="3"/>
        <v>2.4999999999998579E-2</v>
      </c>
      <c r="G20" s="50">
        <f>AVERAGE(F17:F20)</f>
        <v>0.33749999999999858</v>
      </c>
      <c r="H20">
        <v>4</v>
      </c>
      <c r="I20" s="52">
        <f>+H20*POWER(G20-$G$34,2)</f>
        <v>0.50173611111111449</v>
      </c>
      <c r="J20" s="52">
        <f t="shared" si="4"/>
        <v>9.765625E-2</v>
      </c>
    </row>
    <row r="21" spans="2:10">
      <c r="B21">
        <v>2</v>
      </c>
      <c r="C21">
        <v>1</v>
      </c>
      <c r="D21">
        <v>12.6</v>
      </c>
      <c r="F21" s="50">
        <f>ABS(D21-E$24)</f>
        <v>0.875</v>
      </c>
      <c r="I21" s="52"/>
      <c r="J21" s="52">
        <f>POWER(F21-$G$24,2)</f>
        <v>6.25E-2</v>
      </c>
    </row>
    <row r="22" spans="2:10">
      <c r="B22">
        <v>2</v>
      </c>
      <c r="C22">
        <v>1</v>
      </c>
      <c r="D22">
        <v>11.2</v>
      </c>
      <c r="F22" s="50">
        <f t="shared" ref="F22:F24" si="5">ABS(D22-E$24)</f>
        <v>0.52500000000000036</v>
      </c>
      <c r="I22" s="52"/>
      <c r="J22" s="52">
        <f t="shared" ref="J22:J24" si="6">POWER(F22-$G$24,2)</f>
        <v>9.9999999999999291E-3</v>
      </c>
    </row>
    <row r="23" spans="2:10">
      <c r="B23">
        <v>2</v>
      </c>
      <c r="C23">
        <v>1</v>
      </c>
      <c r="D23">
        <v>11</v>
      </c>
      <c r="F23" s="50">
        <f t="shared" si="5"/>
        <v>0.72499999999999964</v>
      </c>
      <c r="I23" s="52"/>
      <c r="J23" s="52">
        <f t="shared" si="6"/>
        <v>9.9999999999999291E-3</v>
      </c>
    </row>
    <row r="24" spans="2:10">
      <c r="B24">
        <v>2</v>
      </c>
      <c r="C24">
        <v>1</v>
      </c>
      <c r="D24">
        <v>12.1</v>
      </c>
      <c r="E24">
        <f>AVERAGE(D21:D24)</f>
        <v>11.725</v>
      </c>
      <c r="F24" s="50">
        <f t="shared" si="5"/>
        <v>0.375</v>
      </c>
      <c r="G24" s="50">
        <f>AVERAGE(F21:F24)</f>
        <v>0.625</v>
      </c>
      <c r="H24">
        <v>4</v>
      </c>
      <c r="I24" s="52">
        <f>+H24*POWER(G24-$G$34,2)</f>
        <v>1.7777777777777653E-2</v>
      </c>
      <c r="J24" s="52">
        <f t="shared" si="6"/>
        <v>6.25E-2</v>
      </c>
    </row>
    <row r="25" spans="2:10">
      <c r="B25">
        <v>2</v>
      </c>
      <c r="C25">
        <v>2</v>
      </c>
      <c r="D25">
        <v>10.5</v>
      </c>
      <c r="F25" s="50">
        <f>ABS(D25-E$28)</f>
        <v>0.32499999999999929</v>
      </c>
      <c r="I25" s="52"/>
      <c r="J25" s="52">
        <f>POWER(F25-$G$28,2)</f>
        <v>1.3225000000000018</v>
      </c>
    </row>
    <row r="26" spans="2:10">
      <c r="B26">
        <v>2</v>
      </c>
      <c r="C26">
        <v>2</v>
      </c>
      <c r="D26">
        <v>12.8</v>
      </c>
      <c r="F26" s="50">
        <f t="shared" ref="F26:F28" si="7">ABS(D26-E$28)</f>
        <v>2.625</v>
      </c>
      <c r="I26" s="52"/>
      <c r="J26" s="52">
        <f t="shared" ref="J26:J28" si="8">POWER(F26-$G$28,2)</f>
        <v>1.3224999999999998</v>
      </c>
    </row>
    <row r="27" spans="2:10">
      <c r="B27">
        <v>2</v>
      </c>
      <c r="C27">
        <v>2</v>
      </c>
      <c r="D27">
        <v>8.3000000000000007</v>
      </c>
      <c r="F27" s="50">
        <f t="shared" si="7"/>
        <v>1.875</v>
      </c>
      <c r="I27" s="52"/>
      <c r="J27" s="52">
        <f t="shared" si="8"/>
        <v>0.15999999999999992</v>
      </c>
    </row>
    <row r="28" spans="2:10">
      <c r="B28">
        <v>2</v>
      </c>
      <c r="C28">
        <v>2</v>
      </c>
      <c r="D28">
        <v>9.1</v>
      </c>
      <c r="E28">
        <f>AVERAGE(D25:D28)</f>
        <v>10.175000000000001</v>
      </c>
      <c r="F28" s="50">
        <f t="shared" si="7"/>
        <v>1.0750000000000011</v>
      </c>
      <c r="G28" s="50">
        <f>AVERAGE(F25:F28)</f>
        <v>1.4750000000000001</v>
      </c>
      <c r="H28">
        <v>4</v>
      </c>
      <c r="I28" s="52">
        <f>+H28*POWER(G28-$G$34,2)</f>
        <v>2.4544444444444466</v>
      </c>
      <c r="J28" s="52">
        <f t="shared" si="8"/>
        <v>0.15999999999999923</v>
      </c>
    </row>
    <row r="29" spans="2:10">
      <c r="B29">
        <v>2</v>
      </c>
      <c r="C29">
        <v>3</v>
      </c>
      <c r="D29">
        <v>15.7</v>
      </c>
      <c r="F29" s="50">
        <f>ABS(D29-E$32)</f>
        <v>0.92500000000000071</v>
      </c>
      <c r="I29" s="52"/>
      <c r="J29" s="52">
        <f>POWER(F29-$G$32,2)</f>
        <v>0.20250000000000096</v>
      </c>
    </row>
    <row r="30" spans="2:10">
      <c r="B30">
        <v>2</v>
      </c>
      <c r="C30">
        <v>3</v>
      </c>
      <c r="D30">
        <v>17.5</v>
      </c>
      <c r="F30" s="50">
        <f t="shared" ref="F30:F32" si="9">ABS(D30-E$32)</f>
        <v>0.875</v>
      </c>
      <c r="I30" s="52"/>
      <c r="J30" s="52">
        <f t="shared" ref="J30:J32" si="10">POWER(F30-$G$32,2)</f>
        <v>0.16000000000000028</v>
      </c>
    </row>
    <row r="31" spans="2:10">
      <c r="B31">
        <v>2</v>
      </c>
      <c r="C31">
        <v>3</v>
      </c>
      <c r="D31">
        <v>16.7</v>
      </c>
      <c r="F31" s="50">
        <f t="shared" si="9"/>
        <v>7.4999999999999289E-2</v>
      </c>
      <c r="I31" s="52"/>
      <c r="J31" s="52">
        <f t="shared" si="10"/>
        <v>0.16000000000000028</v>
      </c>
    </row>
    <row r="32" spans="2:10">
      <c r="B32">
        <v>2</v>
      </c>
      <c r="C32">
        <v>3</v>
      </c>
      <c r="D32">
        <v>16.600000000000001</v>
      </c>
      <c r="E32">
        <f>AVERAGE(D29:D32)</f>
        <v>16.625</v>
      </c>
      <c r="F32" s="50">
        <f t="shared" si="9"/>
        <v>2.4999999999998579E-2</v>
      </c>
      <c r="G32" s="50">
        <f>AVERAGE(F29:F32)</f>
        <v>0.47499999999999964</v>
      </c>
      <c r="H32">
        <v>4</v>
      </c>
      <c r="I32" s="52">
        <f>+H32*POWER(G32-$G$34,2)</f>
        <v>0.18777777777777799</v>
      </c>
      <c r="J32" s="52">
        <f t="shared" si="10"/>
        <v>0.20250000000000096</v>
      </c>
    </row>
    <row r="33" spans="3:13">
      <c r="I33" s="52"/>
      <c r="J33" s="52"/>
    </row>
    <row r="34" spans="3:13">
      <c r="D34">
        <f>AVERAGE(D9:D32)</f>
        <v>14.637499999999998</v>
      </c>
      <c r="F34" s="94">
        <f>AVERAGE(F9:F32)</f>
        <v>0.69166666666666643</v>
      </c>
      <c r="G34">
        <f>AVERAGE(G9:G32)</f>
        <v>0.69166666666666643</v>
      </c>
      <c r="H34">
        <f>SUM(H9:H32)</f>
        <v>24</v>
      </c>
      <c r="I34" s="52">
        <f>SUM(I11:I32)</f>
        <v>4.2920833333333395</v>
      </c>
      <c r="J34" s="52">
        <f>SUM(J9:J32)</f>
        <v>6.2237500000000017</v>
      </c>
    </row>
    <row r="40" spans="3:13">
      <c r="C40">
        <v>18</v>
      </c>
      <c r="D40" t="s">
        <v>74</v>
      </c>
      <c r="E40">
        <f>24-6</f>
        <v>18</v>
      </c>
      <c r="G40" t="s">
        <v>80</v>
      </c>
    </row>
    <row r="41" spans="3:13">
      <c r="C41">
        <v>5</v>
      </c>
      <c r="D41" t="s">
        <v>75</v>
      </c>
      <c r="E41">
        <f>6-1</f>
        <v>5</v>
      </c>
    </row>
    <row r="43" spans="3:13">
      <c r="D43" t="s">
        <v>76</v>
      </c>
      <c r="E43" s="53">
        <f>(E40*I34)/(E41*J34)</f>
        <v>2.4826672022494503</v>
      </c>
      <c r="G43" s="45"/>
      <c r="I43" s="73"/>
      <c r="J43" s="73"/>
      <c r="K43" s="73"/>
      <c r="L43" s="73"/>
    </row>
    <row r="44" spans="3:13">
      <c r="D44" t="s">
        <v>77</v>
      </c>
      <c r="E44">
        <f>_xlfn.F.DIST.RT(E43,E41,E40)</f>
        <v>7.0555487167448389E-2</v>
      </c>
      <c r="F44" t="s">
        <v>112</v>
      </c>
      <c r="I44" s="111"/>
      <c r="J44" s="111"/>
      <c r="K44" s="111"/>
      <c r="L44" s="111"/>
      <c r="M44" s="54"/>
    </row>
    <row r="45" spans="3:13">
      <c r="E45" t="s">
        <v>113</v>
      </c>
      <c r="I45" s="110"/>
      <c r="J45" s="110"/>
      <c r="K45" s="110"/>
      <c r="L45" s="110"/>
      <c r="M45" s="54"/>
    </row>
    <row r="46" spans="3:13" ht="15" customHeight="1">
      <c r="I46" s="74"/>
      <c r="J46" s="74"/>
      <c r="K46" s="74"/>
      <c r="L46" s="74"/>
      <c r="M46" s="54"/>
    </row>
    <row r="47" spans="3:13" ht="15.75" customHeight="1">
      <c r="D47" t="s">
        <v>120</v>
      </c>
      <c r="I47" s="75"/>
      <c r="J47" s="76"/>
      <c r="K47" s="76"/>
      <c r="L47" s="77"/>
      <c r="M47" s="54"/>
    </row>
    <row r="48" spans="3:13">
      <c r="I48" s="110"/>
      <c r="J48" s="110"/>
      <c r="K48" s="110"/>
      <c r="L48" s="110"/>
      <c r="M48" s="54"/>
    </row>
    <row r="49" spans="1:13">
      <c r="I49" s="110"/>
      <c r="J49" s="110"/>
      <c r="K49" s="110"/>
      <c r="L49" s="110"/>
      <c r="M49" s="54"/>
    </row>
    <row r="50" spans="1:13" ht="15.75" customHeight="1">
      <c r="M50" s="54"/>
    </row>
    <row r="56" spans="1:13">
      <c r="B56" s="51" t="s">
        <v>0</v>
      </c>
      <c r="C56" s="51" t="s">
        <v>21</v>
      </c>
      <c r="D56" s="51" t="s">
        <v>99</v>
      </c>
      <c r="E56" s="51" t="s">
        <v>100</v>
      </c>
      <c r="F56" s="51" t="s">
        <v>101</v>
      </c>
      <c r="G56" s="51" t="s">
        <v>70</v>
      </c>
      <c r="H56" s="51" t="s">
        <v>71</v>
      </c>
      <c r="I56" s="51" t="s">
        <v>72</v>
      </c>
      <c r="J56" s="51" t="s">
        <v>73</v>
      </c>
    </row>
    <row r="57" spans="1:13">
      <c r="A57">
        <v>1</v>
      </c>
      <c r="B57">
        <v>1</v>
      </c>
      <c r="C57">
        <v>1</v>
      </c>
      <c r="D57">
        <v>14.3</v>
      </c>
      <c r="F57" s="50">
        <f>ABS(D57-E$60)</f>
        <v>0.82500000000000107</v>
      </c>
      <c r="I57" s="52"/>
      <c r="J57" s="52">
        <f>POWER(F57-$G$60,2)</f>
        <v>2.6406249999999739E-2</v>
      </c>
      <c r="L57" s="11"/>
    </row>
    <row r="58" spans="1:13">
      <c r="A58">
        <v>1</v>
      </c>
      <c r="B58">
        <v>1</v>
      </c>
      <c r="C58">
        <v>1</v>
      </c>
      <c r="D58">
        <v>14.5</v>
      </c>
      <c r="F58" s="50">
        <f t="shared" ref="F58:F60" si="11">ABS(D58-E$60)</f>
        <v>1.0250000000000004</v>
      </c>
      <c r="I58" s="52"/>
      <c r="J58" s="52">
        <f t="shared" ref="J58:J60" si="12">POWER(F58-$G$60,2)</f>
        <v>1.4062500000000067E-3</v>
      </c>
      <c r="L58" s="11"/>
    </row>
    <row r="59" spans="1:13">
      <c r="A59">
        <v>1</v>
      </c>
      <c r="B59">
        <v>1</v>
      </c>
      <c r="C59">
        <v>1</v>
      </c>
      <c r="D59">
        <v>11.5</v>
      </c>
      <c r="F59" s="50">
        <f t="shared" si="11"/>
        <v>1.9749999999999996</v>
      </c>
      <c r="I59" s="52"/>
      <c r="J59" s="52">
        <f t="shared" si="12"/>
        <v>0.97515624999999873</v>
      </c>
      <c r="L59" s="11"/>
    </row>
    <row r="60" spans="1:13">
      <c r="A60">
        <v>1</v>
      </c>
      <c r="B60">
        <v>1</v>
      </c>
      <c r="C60">
        <v>1</v>
      </c>
      <c r="D60">
        <v>13.6</v>
      </c>
      <c r="E60">
        <f>AVERAGE(D57:D60)</f>
        <v>13.475</v>
      </c>
      <c r="F60" s="50">
        <f t="shared" si="11"/>
        <v>0.125</v>
      </c>
      <c r="G60" s="50">
        <f>AVERAGE(F57:F60)</f>
        <v>0.98750000000000027</v>
      </c>
      <c r="H60">
        <v>4</v>
      </c>
      <c r="I60" s="52">
        <f>+H60*POWER(G60-$G$82,2)</f>
        <v>0.35006944444444565</v>
      </c>
      <c r="J60" s="52">
        <f t="shared" si="12"/>
        <v>0.74390625000000044</v>
      </c>
      <c r="L60" s="11"/>
      <c r="M60" s="50"/>
    </row>
    <row r="61" spans="1:13">
      <c r="A61">
        <v>2</v>
      </c>
      <c r="B61">
        <v>1</v>
      </c>
      <c r="C61">
        <v>2</v>
      </c>
      <c r="D61">
        <v>18.100000000000001</v>
      </c>
      <c r="F61" s="50">
        <f>ABS(D61-E$64)</f>
        <v>0.5</v>
      </c>
      <c r="I61" s="52"/>
      <c r="J61" s="52">
        <f>POWER(F61-$G$64,2)</f>
        <v>6.25E-2</v>
      </c>
      <c r="L61" s="11"/>
    </row>
    <row r="62" spans="1:13">
      <c r="A62">
        <v>2</v>
      </c>
      <c r="B62">
        <v>1</v>
      </c>
      <c r="C62">
        <v>2</v>
      </c>
      <c r="D62">
        <v>17.600000000000001</v>
      </c>
      <c r="F62" s="50">
        <f t="shared" ref="F62:F64" si="13">ABS(D62-E$64)</f>
        <v>0</v>
      </c>
      <c r="I62" s="52"/>
      <c r="J62" s="52">
        <f t="shared" ref="J62:J64" si="14">POWER(F62-$G$64,2)</f>
        <v>6.25E-2</v>
      </c>
      <c r="L62" s="11"/>
    </row>
    <row r="63" spans="1:13">
      <c r="A63">
        <v>2</v>
      </c>
      <c r="B63">
        <v>1</v>
      </c>
      <c r="C63">
        <v>2</v>
      </c>
      <c r="D63">
        <v>17.100000000000001</v>
      </c>
      <c r="F63" s="50">
        <f t="shared" si="13"/>
        <v>0.5</v>
      </c>
      <c r="I63" s="52"/>
      <c r="J63" s="52">
        <f t="shared" si="14"/>
        <v>6.25E-2</v>
      </c>
      <c r="L63" s="11"/>
    </row>
    <row r="64" spans="1:13">
      <c r="A64">
        <v>2</v>
      </c>
      <c r="B64">
        <v>1</v>
      </c>
      <c r="C64">
        <v>2</v>
      </c>
      <c r="D64">
        <v>17.600000000000001</v>
      </c>
      <c r="E64">
        <f>AVERAGE(D61:D64)</f>
        <v>17.600000000000001</v>
      </c>
      <c r="F64" s="50">
        <f t="shared" si="13"/>
        <v>0</v>
      </c>
      <c r="G64" s="50">
        <f>AVERAGE(F61:F64)</f>
        <v>0.25</v>
      </c>
      <c r="H64">
        <v>4</v>
      </c>
      <c r="I64" s="52">
        <f>+H64*POWER(G64-$G$82,2)</f>
        <v>0.78027777777777696</v>
      </c>
      <c r="J64" s="52">
        <f t="shared" si="14"/>
        <v>6.25E-2</v>
      </c>
      <c r="L64" s="11"/>
      <c r="M64" s="50"/>
    </row>
    <row r="65" spans="1:13">
      <c r="A65">
        <v>3</v>
      </c>
      <c r="B65">
        <v>1</v>
      </c>
      <c r="C65">
        <v>3</v>
      </c>
      <c r="D65">
        <v>17.600000000000001</v>
      </c>
      <c r="F65" s="50">
        <f>ABS(D65-E$68)</f>
        <v>0.62499999999999645</v>
      </c>
      <c r="I65" s="52"/>
      <c r="J65" s="52">
        <f>POWER(F65-$G$68,2)</f>
        <v>8.2656249999998779E-2</v>
      </c>
      <c r="L65" s="11"/>
    </row>
    <row r="66" spans="1:13">
      <c r="A66">
        <v>3</v>
      </c>
      <c r="B66">
        <v>1</v>
      </c>
      <c r="C66">
        <v>3</v>
      </c>
      <c r="D66">
        <v>18.2</v>
      </c>
      <c r="F66" s="50">
        <f t="shared" ref="F66:F68" si="15">ABS(D66-E$68)</f>
        <v>2.4999999999998579E-2</v>
      </c>
      <c r="I66" s="52"/>
      <c r="J66" s="52">
        <f t="shared" ref="J66:J68" si="16">POWER(F66-$G$68,2)</f>
        <v>9.765625E-2</v>
      </c>
      <c r="L66" s="11"/>
    </row>
    <row r="67" spans="1:13">
      <c r="A67">
        <v>3</v>
      </c>
      <c r="B67">
        <v>1</v>
      </c>
      <c r="C67">
        <v>3</v>
      </c>
      <c r="D67">
        <v>18.899999999999999</v>
      </c>
      <c r="F67" s="50">
        <f t="shared" si="15"/>
        <v>0.67500000000000071</v>
      </c>
      <c r="I67" s="52"/>
      <c r="J67" s="52">
        <f t="shared" si="16"/>
        <v>0.11390625000000144</v>
      </c>
      <c r="L67" s="11"/>
    </row>
    <row r="68" spans="1:13">
      <c r="A68">
        <v>3</v>
      </c>
      <c r="B68">
        <v>1</v>
      </c>
      <c r="C68">
        <v>3</v>
      </c>
      <c r="D68">
        <v>18.2</v>
      </c>
      <c r="E68">
        <f>AVERAGE(D65:D68)</f>
        <v>18.224999999999998</v>
      </c>
      <c r="F68" s="50">
        <f t="shared" si="15"/>
        <v>2.4999999999998579E-2</v>
      </c>
      <c r="G68" s="50">
        <f>AVERAGE(F65:F68)</f>
        <v>0.33749999999999858</v>
      </c>
      <c r="H68">
        <v>4</v>
      </c>
      <c r="I68" s="52">
        <f>+H68*POWER(G68-$G$82,2)</f>
        <v>0.50173611111111449</v>
      </c>
      <c r="J68" s="52">
        <f t="shared" si="16"/>
        <v>9.765625E-2</v>
      </c>
      <c r="L68" s="11"/>
      <c r="M68" s="50"/>
    </row>
    <row r="69" spans="1:13">
      <c r="A69">
        <v>4</v>
      </c>
      <c r="B69">
        <v>2</v>
      </c>
      <c r="C69">
        <v>1</v>
      </c>
      <c r="D69">
        <v>12.6</v>
      </c>
      <c r="F69" s="50">
        <f>ABS(D69-E$72)</f>
        <v>0.875</v>
      </c>
      <c r="I69" s="52"/>
      <c r="J69" s="52">
        <f>POWER(F69-$G$72,2)</f>
        <v>6.25E-2</v>
      </c>
      <c r="L69" s="11"/>
    </row>
    <row r="70" spans="1:13">
      <c r="A70">
        <v>4</v>
      </c>
      <c r="B70">
        <v>2</v>
      </c>
      <c r="C70">
        <v>1</v>
      </c>
      <c r="D70">
        <v>11.2</v>
      </c>
      <c r="F70" s="50">
        <f t="shared" ref="F70:F72" si="17">ABS(D70-E$72)</f>
        <v>0.52500000000000036</v>
      </c>
      <c r="I70" s="52"/>
      <c r="J70" s="52">
        <f t="shared" ref="J70:J72" si="18">POWER(F70-$G$72,2)</f>
        <v>9.9999999999999291E-3</v>
      </c>
      <c r="L70" s="11"/>
    </row>
    <row r="71" spans="1:13">
      <c r="A71">
        <v>4</v>
      </c>
      <c r="B71">
        <v>2</v>
      </c>
      <c r="C71">
        <v>1</v>
      </c>
      <c r="D71">
        <v>11</v>
      </c>
      <c r="F71" s="50">
        <f t="shared" si="17"/>
        <v>0.72499999999999964</v>
      </c>
      <c r="I71" s="52"/>
      <c r="J71" s="52">
        <f t="shared" si="18"/>
        <v>9.9999999999999291E-3</v>
      </c>
      <c r="L71" s="11"/>
    </row>
    <row r="72" spans="1:13">
      <c r="A72">
        <v>4</v>
      </c>
      <c r="B72">
        <v>2</v>
      </c>
      <c r="C72">
        <v>1</v>
      </c>
      <c r="D72">
        <v>12.1</v>
      </c>
      <c r="E72">
        <f>AVERAGE(D69:D72)</f>
        <v>11.725</v>
      </c>
      <c r="F72" s="50">
        <f t="shared" si="17"/>
        <v>0.375</v>
      </c>
      <c r="G72" s="50">
        <f>AVERAGE(F69:F72)</f>
        <v>0.625</v>
      </c>
      <c r="H72">
        <v>4</v>
      </c>
      <c r="I72" s="52">
        <f>+H72*POWER(G72-$G$82,2)</f>
        <v>1.7777777777777653E-2</v>
      </c>
      <c r="J72" s="52">
        <f t="shared" si="18"/>
        <v>6.25E-2</v>
      </c>
      <c r="L72" s="11"/>
      <c r="M72" s="50"/>
    </row>
    <row r="73" spans="1:13">
      <c r="A73">
        <v>5</v>
      </c>
      <c r="B73">
        <v>2</v>
      </c>
      <c r="C73">
        <v>2</v>
      </c>
      <c r="D73">
        <v>10.5</v>
      </c>
      <c r="F73" s="50">
        <f>ABS(D73-E$76)</f>
        <v>0.32499999999999929</v>
      </c>
      <c r="I73" s="52"/>
      <c r="J73" s="52">
        <f>POWER(F73-$G$76,2)</f>
        <v>1.3225000000000018</v>
      </c>
      <c r="L73" s="11"/>
    </row>
    <row r="74" spans="1:13">
      <c r="A74">
        <v>5</v>
      </c>
      <c r="B74">
        <v>2</v>
      </c>
      <c r="C74">
        <v>2</v>
      </c>
      <c r="D74">
        <v>12.8</v>
      </c>
      <c r="F74" s="50">
        <f t="shared" ref="F74:F76" si="19">ABS(D74-E$76)</f>
        <v>2.625</v>
      </c>
      <c r="I74" s="52"/>
      <c r="J74" s="52">
        <f t="shared" ref="J74:J76" si="20">POWER(F74-$G$76,2)</f>
        <v>1.3224999999999998</v>
      </c>
      <c r="L74" s="11"/>
    </row>
    <row r="75" spans="1:13">
      <c r="A75">
        <v>5</v>
      </c>
      <c r="B75">
        <v>2</v>
      </c>
      <c r="C75">
        <v>2</v>
      </c>
      <c r="D75">
        <v>8.3000000000000007</v>
      </c>
      <c r="F75" s="50">
        <f t="shared" si="19"/>
        <v>1.875</v>
      </c>
      <c r="I75" s="52"/>
      <c r="J75" s="52">
        <f t="shared" si="20"/>
        <v>0.15999999999999992</v>
      </c>
      <c r="L75" s="11"/>
    </row>
    <row r="76" spans="1:13">
      <c r="A76">
        <v>5</v>
      </c>
      <c r="B76">
        <v>2</v>
      </c>
      <c r="C76">
        <v>2</v>
      </c>
      <c r="D76">
        <v>9.1</v>
      </c>
      <c r="E76">
        <f>AVERAGE(D73:D76)</f>
        <v>10.175000000000001</v>
      </c>
      <c r="F76" s="50">
        <f t="shared" si="19"/>
        <v>1.0750000000000011</v>
      </c>
      <c r="G76" s="50">
        <f>AVERAGE(F73:F76)</f>
        <v>1.4750000000000001</v>
      </c>
      <c r="H76">
        <v>4</v>
      </c>
      <c r="I76" s="52">
        <f>+H76*POWER(G76-$G$82,2)</f>
        <v>2.4544444444444466</v>
      </c>
      <c r="J76" s="52">
        <f t="shared" si="20"/>
        <v>0.15999999999999923</v>
      </c>
      <c r="L76" s="11"/>
      <c r="M76" s="50"/>
    </row>
    <row r="77" spans="1:13">
      <c r="A77">
        <v>6</v>
      </c>
      <c r="B77">
        <v>2</v>
      </c>
      <c r="C77">
        <v>3</v>
      </c>
      <c r="D77">
        <v>15.7</v>
      </c>
      <c r="F77" s="50">
        <f>ABS(D77-E$80)</f>
        <v>0.92500000000000071</v>
      </c>
      <c r="I77" s="52"/>
      <c r="J77" s="52">
        <f>POWER(F77-$G$80,2)</f>
        <v>0.20250000000000096</v>
      </c>
      <c r="L77" s="11"/>
    </row>
    <row r="78" spans="1:13">
      <c r="A78">
        <v>6</v>
      </c>
      <c r="B78">
        <v>2</v>
      </c>
      <c r="C78">
        <v>3</v>
      </c>
      <c r="D78">
        <v>17.5</v>
      </c>
      <c r="F78" s="50">
        <f t="shared" ref="F78:F80" si="21">ABS(D78-E$80)</f>
        <v>0.875</v>
      </c>
      <c r="I78" s="52"/>
      <c r="J78" s="52">
        <f t="shared" ref="J78:J80" si="22">POWER(F78-$G$80,2)</f>
        <v>0.16000000000000028</v>
      </c>
      <c r="L78" s="11"/>
    </row>
    <row r="79" spans="1:13">
      <c r="A79">
        <v>6</v>
      </c>
      <c r="B79">
        <v>2</v>
      </c>
      <c r="C79">
        <v>3</v>
      </c>
      <c r="D79">
        <v>16.7</v>
      </c>
      <c r="F79" s="50">
        <f t="shared" si="21"/>
        <v>7.4999999999999289E-2</v>
      </c>
      <c r="I79" s="52"/>
      <c r="J79" s="52">
        <f t="shared" si="22"/>
        <v>0.16000000000000028</v>
      </c>
      <c r="L79" s="11"/>
    </row>
    <row r="80" spans="1:13">
      <c r="A80">
        <v>6</v>
      </c>
      <c r="B80">
        <v>2</v>
      </c>
      <c r="C80">
        <v>3</v>
      </c>
      <c r="D80">
        <v>16.600000000000001</v>
      </c>
      <c r="E80">
        <f>AVERAGE(D77:D80)</f>
        <v>16.625</v>
      </c>
      <c r="F80" s="50">
        <f t="shared" si="21"/>
        <v>2.4999999999998579E-2</v>
      </c>
      <c r="G80" s="50">
        <f>AVERAGE(F77:F80)</f>
        <v>0.47499999999999964</v>
      </c>
      <c r="H80">
        <v>4</v>
      </c>
      <c r="I80" s="52">
        <f>+H80*POWER(G80-$G$82,2)</f>
        <v>0.18777777777777799</v>
      </c>
      <c r="J80" s="52">
        <f t="shared" si="22"/>
        <v>0.20250000000000096</v>
      </c>
      <c r="L80" s="11"/>
      <c r="M80" s="50"/>
    </row>
    <row r="81" spans="3:14">
      <c r="I81" s="52"/>
      <c r="J81" s="52"/>
    </row>
    <row r="82" spans="3:14">
      <c r="D82">
        <f>AVERAGE(D57:D80)</f>
        <v>14.637499999999998</v>
      </c>
      <c r="F82" s="88">
        <f>AVERAGE(F57:F80)</f>
        <v>0.69166666666666643</v>
      </c>
      <c r="G82">
        <f>AVERAGE(G57:G80)</f>
        <v>0.69166666666666643</v>
      </c>
      <c r="H82">
        <f>SUM(H57:H80)</f>
        <v>24</v>
      </c>
      <c r="I82" s="52">
        <f>SUM(I59:I80)</f>
        <v>4.2920833333333395</v>
      </c>
      <c r="J82" s="52">
        <f>SUM(J57:J80)</f>
        <v>6.2237500000000017</v>
      </c>
      <c r="N82" s="1"/>
    </row>
    <row r="88" spans="3:14">
      <c r="C88">
        <v>18</v>
      </c>
      <c r="D88" t="s">
        <v>74</v>
      </c>
      <c r="E88">
        <f>24-6</f>
        <v>18</v>
      </c>
      <c r="G88" t="s">
        <v>80</v>
      </c>
    </row>
    <row r="89" spans="3:14">
      <c r="C89">
        <v>5</v>
      </c>
      <c r="D89" t="s">
        <v>75</v>
      </c>
      <c r="E89">
        <f>6-1</f>
        <v>5</v>
      </c>
    </row>
    <row r="91" spans="3:14">
      <c r="D91" t="s">
        <v>76</v>
      </c>
      <c r="E91" s="53">
        <f>(E88*I82)/(E89*J82)</f>
        <v>2.4826672022494503</v>
      </c>
      <c r="G91" s="45"/>
    </row>
    <row r="92" spans="3:14">
      <c r="D92" t="s">
        <v>77</v>
      </c>
      <c r="E92" s="50">
        <f>_xlfn.F.DIST.RT(E91,E89,E88)</f>
        <v>7.0555487167448389E-2</v>
      </c>
      <c r="I92" s="111" t="s">
        <v>66</v>
      </c>
      <c r="J92" s="111"/>
      <c r="K92" s="111"/>
      <c r="L92" s="111"/>
      <c r="M92" s="54"/>
    </row>
    <row r="93" spans="3:14" ht="15.75" thickBot="1">
      <c r="I93" s="110" t="s">
        <v>29</v>
      </c>
      <c r="J93" s="110"/>
      <c r="K93" s="110"/>
      <c r="L93" s="110"/>
      <c r="M93" s="54"/>
    </row>
    <row r="94" spans="3:14" ht="15" customHeight="1" thickTop="1" thickBot="1">
      <c r="C94" t="s">
        <v>78</v>
      </c>
      <c r="I94" s="55" t="s">
        <v>25</v>
      </c>
      <c r="J94" s="56" t="s">
        <v>63</v>
      </c>
      <c r="K94" s="56" t="s">
        <v>64</v>
      </c>
      <c r="L94" s="57" t="s">
        <v>30</v>
      </c>
      <c r="M94" s="54"/>
    </row>
    <row r="95" spans="3:14" ht="15.75" customHeight="1" thickTop="1" thickBot="1">
      <c r="C95" t="s">
        <v>79</v>
      </c>
      <c r="I95" s="58">
        <v>2.4826672022494551</v>
      </c>
      <c r="J95" s="59">
        <v>5</v>
      </c>
      <c r="K95" s="59">
        <v>18</v>
      </c>
      <c r="L95" s="60">
        <v>7.0555487167448097E-2</v>
      </c>
      <c r="M95" s="54"/>
    </row>
    <row r="96" spans="3:14" ht="15.75" thickTop="1">
      <c r="I96" s="110" t="s">
        <v>65</v>
      </c>
      <c r="J96" s="110"/>
      <c r="K96" s="110"/>
      <c r="L96" s="110"/>
      <c r="M96" s="54"/>
    </row>
    <row r="97" spans="9:13">
      <c r="I97" s="110" t="s">
        <v>81</v>
      </c>
      <c r="J97" s="110"/>
      <c r="K97" s="110"/>
      <c r="L97" s="110"/>
      <c r="M97" s="54"/>
    </row>
    <row r="98" spans="9:13" ht="15.75" customHeight="1">
      <c r="M98" s="54"/>
    </row>
  </sheetData>
  <sortState xmlns:xlrd2="http://schemas.microsoft.com/office/spreadsheetml/2017/richdata2" ref="B100:D123">
    <sortCondition ref="C100:C123"/>
  </sortState>
  <mergeCells count="8">
    <mergeCell ref="I93:L93"/>
    <mergeCell ref="I96:L96"/>
    <mergeCell ref="I97:L97"/>
    <mergeCell ref="I44:L44"/>
    <mergeCell ref="I45:L45"/>
    <mergeCell ref="I48:L48"/>
    <mergeCell ref="I49:L49"/>
    <mergeCell ref="I92:L9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8</xdr:col>
                <xdr:colOff>514350</xdr:colOff>
                <xdr:row>34</xdr:row>
                <xdr:rowOff>76200</xdr:rowOff>
              </from>
              <to>
                <xdr:col>11</xdr:col>
                <xdr:colOff>504825</xdr:colOff>
                <xdr:row>40</xdr:row>
                <xdr:rowOff>133350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8</xdr:col>
                <xdr:colOff>371475</xdr:colOff>
                <xdr:row>84</xdr:row>
                <xdr:rowOff>85725</xdr:rowOff>
              </from>
              <to>
                <xdr:col>10</xdr:col>
                <xdr:colOff>428625</xdr:colOff>
                <xdr:row>88</xdr:row>
                <xdr:rowOff>152400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8" r:id="rId7">
          <objectPr defaultSize="0" autoPict="0" r:id="rId5">
            <anchor moveWithCells="1" sizeWithCells="1">
              <from>
                <xdr:col>11</xdr:col>
                <xdr:colOff>514350</xdr:colOff>
                <xdr:row>3</xdr:row>
                <xdr:rowOff>76200</xdr:rowOff>
              </from>
              <to>
                <xdr:col>14</xdr:col>
                <xdr:colOff>504825</xdr:colOff>
                <xdr:row>9</xdr:row>
                <xdr:rowOff>133350</xdr:rowOff>
              </to>
            </anchor>
          </objectPr>
        </oleObject>
      </mc:Choice>
      <mc:Fallback>
        <oleObject progId="Equation.3" shapeId="6148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-0.249977111117893"/>
  </sheetPr>
  <dimension ref="C4:M39"/>
  <sheetViews>
    <sheetView zoomScale="80" zoomScaleNormal="80" workbookViewId="0">
      <selection activeCell="I45" sqref="I45"/>
    </sheetView>
  </sheetViews>
  <sheetFormatPr baseColWidth="10" defaultRowHeight="15"/>
  <cols>
    <col min="11" max="11" width="11.85546875" bestFit="1" customWidth="1"/>
    <col min="13" max="13" width="17.85546875" bestFit="1" customWidth="1"/>
  </cols>
  <sheetData>
    <row r="4" spans="3:13">
      <c r="C4" s="51" t="s">
        <v>96</v>
      </c>
      <c r="D4" s="51" t="s">
        <v>7</v>
      </c>
    </row>
    <row r="5" spans="3:13">
      <c r="C5">
        <v>1</v>
      </c>
      <c r="D5" s="32">
        <v>12.6</v>
      </c>
    </row>
    <row r="6" spans="3:13">
      <c r="C6">
        <v>2</v>
      </c>
      <c r="D6" s="32">
        <v>13.887499999999999</v>
      </c>
    </row>
    <row r="7" spans="3:13">
      <c r="C7">
        <v>3</v>
      </c>
      <c r="D7" s="32">
        <v>17.425000000000001</v>
      </c>
    </row>
    <row r="10" spans="3:13">
      <c r="D10" t="s">
        <v>97</v>
      </c>
      <c r="E10">
        <v>1.2220833333333334</v>
      </c>
    </row>
    <row r="11" spans="3:13">
      <c r="C11" t="s">
        <v>105</v>
      </c>
      <c r="D11" t="s">
        <v>104</v>
      </c>
      <c r="E11">
        <f>+E10/2</f>
        <v>0.61104166666666671</v>
      </c>
    </row>
    <row r="12" spans="3:13" ht="15.75" thickBot="1"/>
    <row r="13" spans="3:13" ht="30.75" thickBot="1">
      <c r="C13" s="61" t="s">
        <v>82</v>
      </c>
      <c r="D13" s="62" t="s">
        <v>83</v>
      </c>
      <c r="E13" s="62" t="s">
        <v>84</v>
      </c>
      <c r="F13" s="62" t="s">
        <v>85</v>
      </c>
      <c r="G13" s="63" t="s">
        <v>86</v>
      </c>
      <c r="H13" s="62" t="s">
        <v>87</v>
      </c>
      <c r="I13" s="62" t="s">
        <v>88</v>
      </c>
      <c r="J13" s="63" t="s">
        <v>89</v>
      </c>
      <c r="K13" s="63" t="s">
        <v>90</v>
      </c>
      <c r="L13" s="64" t="s">
        <v>91</v>
      </c>
      <c r="M13" s="65" t="s">
        <v>92</v>
      </c>
    </row>
    <row r="14" spans="3:13">
      <c r="C14" s="71">
        <v>1</v>
      </c>
      <c r="D14" s="67">
        <v>2</v>
      </c>
      <c r="E14" s="23">
        <v>12.6</v>
      </c>
      <c r="F14" s="23">
        <v>13.887499999999999</v>
      </c>
      <c r="G14" s="72">
        <f>+E14-F14</f>
        <v>-1.2874999999999996</v>
      </c>
      <c r="H14" s="66">
        <v>4</v>
      </c>
      <c r="I14" s="66">
        <v>4</v>
      </c>
      <c r="J14" s="70">
        <f>SQRT($E$11*(1/H14+1/I14))</f>
        <v>0.55273939006853257</v>
      </c>
      <c r="K14" s="69">
        <f>G14/J14</f>
        <v>-2.3293074876396385</v>
      </c>
      <c r="L14" s="68">
        <f>SQRT(2*_xlfn.F.INV.RT(0.05,2,21))</f>
        <v>2.6331730332594616</v>
      </c>
      <c r="M14" t="s">
        <v>102</v>
      </c>
    </row>
    <row r="15" spans="3:13">
      <c r="C15" s="66">
        <v>1</v>
      </c>
      <c r="D15" s="66">
        <v>3</v>
      </c>
      <c r="E15" s="23">
        <v>12.6</v>
      </c>
      <c r="F15" s="23">
        <v>17.425000000000001</v>
      </c>
      <c r="G15" s="72">
        <f t="shared" ref="G15:G19" si="0">+E15-F15</f>
        <v>-4.8250000000000011</v>
      </c>
      <c r="H15" s="66">
        <v>4</v>
      </c>
      <c r="I15" s="66">
        <v>4</v>
      </c>
      <c r="J15" s="70">
        <f t="shared" ref="J15:J19" si="1">SQRT($E$11*(1/H15+1/I15))</f>
        <v>0.55273939006853257</v>
      </c>
      <c r="K15" s="69">
        <f>G15/J15</f>
        <v>-8.7292494196980659</v>
      </c>
      <c r="L15" s="68">
        <f>SQRT(2*_xlfn.F.INV.RT(0.05,2,21))</f>
        <v>2.6331730332594616</v>
      </c>
      <c r="M15" t="s">
        <v>103</v>
      </c>
    </row>
    <row r="16" spans="3:13">
      <c r="C16" s="66">
        <v>2</v>
      </c>
      <c r="D16" s="71">
        <v>1</v>
      </c>
      <c r="E16" s="23">
        <v>13.887499999999999</v>
      </c>
      <c r="F16" s="23">
        <v>12.6</v>
      </c>
      <c r="G16" s="72">
        <f t="shared" si="0"/>
        <v>1.2874999999999996</v>
      </c>
      <c r="H16" s="66">
        <v>4</v>
      </c>
      <c r="I16" s="66">
        <v>4</v>
      </c>
      <c r="J16" s="70">
        <f t="shared" si="1"/>
        <v>0.55273939006853257</v>
      </c>
      <c r="K16" s="69">
        <f t="shared" ref="K16:K19" si="2">G16/J16</f>
        <v>2.3293074876396385</v>
      </c>
      <c r="L16" s="68">
        <f t="shared" ref="L16:L19" si="3">SQRT(2*_xlfn.F.INV.RT(0.05,2,21))</f>
        <v>2.6331730332594616</v>
      </c>
      <c r="M16" t="s">
        <v>102</v>
      </c>
    </row>
    <row r="17" spans="3:13">
      <c r="C17" s="66">
        <v>2</v>
      </c>
      <c r="D17" s="66">
        <v>3</v>
      </c>
      <c r="E17" s="23">
        <v>13.887499999999999</v>
      </c>
      <c r="F17" s="23">
        <v>17.425000000000001</v>
      </c>
      <c r="G17" s="72">
        <f t="shared" si="0"/>
        <v>-3.5375000000000014</v>
      </c>
      <c r="H17" s="66">
        <v>4</v>
      </c>
      <c r="I17" s="66">
        <v>4</v>
      </c>
      <c r="J17" s="70">
        <f t="shared" si="1"/>
        <v>0.55273939006853257</v>
      </c>
      <c r="K17" s="69">
        <f t="shared" si="2"/>
        <v>-6.3999419320584279</v>
      </c>
      <c r="L17" s="68">
        <f t="shared" si="3"/>
        <v>2.6331730332594616</v>
      </c>
      <c r="M17" t="s">
        <v>103</v>
      </c>
    </row>
    <row r="18" spans="3:13">
      <c r="C18" s="66">
        <v>3</v>
      </c>
      <c r="D18" s="66">
        <v>1</v>
      </c>
      <c r="E18" s="23">
        <v>17.425000000000001</v>
      </c>
      <c r="F18" s="23">
        <v>12.6</v>
      </c>
      <c r="G18" s="72">
        <f t="shared" si="0"/>
        <v>4.8250000000000011</v>
      </c>
      <c r="H18" s="66">
        <v>4</v>
      </c>
      <c r="I18" s="66">
        <v>4</v>
      </c>
      <c r="J18" s="70">
        <f t="shared" si="1"/>
        <v>0.55273939006853257</v>
      </c>
      <c r="K18" s="69">
        <f t="shared" si="2"/>
        <v>8.7292494196980659</v>
      </c>
      <c r="L18" s="68">
        <f t="shared" si="3"/>
        <v>2.6331730332594616</v>
      </c>
      <c r="M18" t="s">
        <v>103</v>
      </c>
    </row>
    <row r="19" spans="3:13">
      <c r="C19" s="66">
        <v>3</v>
      </c>
      <c r="D19" s="66">
        <v>2</v>
      </c>
      <c r="E19" s="23">
        <v>17.425000000000001</v>
      </c>
      <c r="F19" s="23">
        <v>13.887499999999999</v>
      </c>
      <c r="G19" s="72">
        <f t="shared" si="0"/>
        <v>3.5375000000000014</v>
      </c>
      <c r="H19" s="66">
        <v>4</v>
      </c>
      <c r="I19" s="66">
        <v>4</v>
      </c>
      <c r="J19" s="70">
        <f t="shared" si="1"/>
        <v>0.55273939006853257</v>
      </c>
      <c r="K19" s="69">
        <f t="shared" si="2"/>
        <v>6.3999419320584279</v>
      </c>
      <c r="L19" s="68">
        <f t="shared" si="3"/>
        <v>2.6331730332594616</v>
      </c>
      <c r="M19" t="s">
        <v>103</v>
      </c>
    </row>
    <row r="21" spans="3:13" hidden="1"/>
    <row r="22" spans="3:13" ht="30.75" hidden="1" thickBot="1">
      <c r="C22" s="61" t="s">
        <v>82</v>
      </c>
      <c r="D22" s="62" t="s">
        <v>83</v>
      </c>
      <c r="E22" s="63" t="s">
        <v>86</v>
      </c>
      <c r="F22" s="63" t="s">
        <v>89</v>
      </c>
      <c r="G22" s="64" t="s">
        <v>91</v>
      </c>
      <c r="H22" s="64" t="s">
        <v>93</v>
      </c>
      <c r="I22" s="64" t="s">
        <v>94</v>
      </c>
      <c r="J22" s="64" t="s">
        <v>95</v>
      </c>
    </row>
    <row r="23" spans="3:13" hidden="1">
      <c r="C23" s="71">
        <v>1</v>
      </c>
      <c r="D23" s="67">
        <v>2</v>
      </c>
      <c r="E23">
        <v>-1.2874999999999996</v>
      </c>
      <c r="F23">
        <v>0.55273939006853257</v>
      </c>
      <c r="G23" s="68">
        <f>SQRT(2*_xlfn.F.INV.RT(0.05,2,21))</f>
        <v>2.6331730332594616</v>
      </c>
      <c r="H23">
        <f>+F23*G23</f>
        <v>1.4554584563487427</v>
      </c>
      <c r="I23" s="69">
        <f>+E23-H23</f>
        <v>-2.7429584563487426</v>
      </c>
      <c r="J23">
        <f>+E23+H23</f>
        <v>0.16795845634874307</v>
      </c>
      <c r="K23" t="s">
        <v>98</v>
      </c>
    </row>
    <row r="24" spans="3:13" hidden="1">
      <c r="C24" s="66">
        <v>1</v>
      </c>
      <c r="D24" s="66">
        <v>3</v>
      </c>
      <c r="E24">
        <v>-4.8250000000000011</v>
      </c>
      <c r="F24">
        <v>0.55273939006853257</v>
      </c>
      <c r="G24">
        <v>2.6331730332594616</v>
      </c>
      <c r="H24">
        <f t="shared" ref="H24:H28" si="4">+F24*G24</f>
        <v>1.4554584563487427</v>
      </c>
      <c r="I24" s="69">
        <f t="shared" ref="I24:I28" si="5">+E24-H24</f>
        <v>-6.280458456348744</v>
      </c>
      <c r="J24">
        <f t="shared" ref="J24:J28" si="6">+E24+H24</f>
        <v>-3.3695415436512581</v>
      </c>
    </row>
    <row r="25" spans="3:13" hidden="1">
      <c r="C25" s="66">
        <v>2</v>
      </c>
      <c r="D25" s="71">
        <v>1</v>
      </c>
      <c r="E25">
        <v>1.2874999999999996</v>
      </c>
      <c r="F25">
        <v>0.55273939006853257</v>
      </c>
      <c r="G25">
        <v>2.6331730332594616</v>
      </c>
      <c r="H25">
        <f t="shared" si="4"/>
        <v>1.4554584563487427</v>
      </c>
      <c r="I25" s="69">
        <f t="shared" si="5"/>
        <v>-0.16795845634874307</v>
      </c>
      <c r="J25">
        <f t="shared" si="6"/>
        <v>2.7429584563487426</v>
      </c>
      <c r="K25" t="s">
        <v>98</v>
      </c>
    </row>
    <row r="26" spans="3:13" hidden="1">
      <c r="C26" s="66">
        <v>2</v>
      </c>
      <c r="D26" s="66">
        <v>3</v>
      </c>
      <c r="E26">
        <v>-3.5375000000000014</v>
      </c>
      <c r="F26">
        <v>0.55273939006853257</v>
      </c>
      <c r="G26">
        <v>2.6331730332594616</v>
      </c>
      <c r="H26">
        <f t="shared" si="4"/>
        <v>1.4554584563487427</v>
      </c>
      <c r="I26" s="69">
        <f t="shared" si="5"/>
        <v>-4.9929584563487444</v>
      </c>
      <c r="J26">
        <f t="shared" si="6"/>
        <v>-2.0820415436512585</v>
      </c>
    </row>
    <row r="27" spans="3:13" hidden="1">
      <c r="C27" s="66">
        <v>3</v>
      </c>
      <c r="D27" s="66">
        <v>1</v>
      </c>
      <c r="E27">
        <v>4.8250000000000011</v>
      </c>
      <c r="F27">
        <v>0.55273939006853257</v>
      </c>
      <c r="G27">
        <v>2.6331730332594616</v>
      </c>
      <c r="H27">
        <f t="shared" si="4"/>
        <v>1.4554584563487427</v>
      </c>
      <c r="I27" s="69">
        <f t="shared" si="5"/>
        <v>3.3695415436512581</v>
      </c>
      <c r="J27">
        <f t="shared" si="6"/>
        <v>6.280458456348744</v>
      </c>
    </row>
    <row r="28" spans="3:13" hidden="1">
      <c r="C28" s="66">
        <v>3</v>
      </c>
      <c r="D28" s="66">
        <v>2</v>
      </c>
      <c r="E28">
        <v>3.5375000000000014</v>
      </c>
      <c r="F28">
        <v>0.55273939006853257</v>
      </c>
      <c r="G28">
        <v>2.6331730332594616</v>
      </c>
      <c r="H28">
        <f t="shared" si="4"/>
        <v>1.4554584563487427</v>
      </c>
      <c r="I28" s="69">
        <f t="shared" si="5"/>
        <v>2.0820415436512585</v>
      </c>
      <c r="J28">
        <f t="shared" si="6"/>
        <v>4.9929584563487444</v>
      </c>
    </row>
    <row r="29" spans="3:13" hidden="1"/>
    <row r="30" spans="3:13" hidden="1"/>
    <row r="31" spans="3:13" hidden="1"/>
    <row r="32" spans="3:13" ht="15.75" thickBot="1"/>
    <row r="33" spans="3:11" ht="30.75" thickBot="1">
      <c r="C33" s="61" t="s">
        <v>82</v>
      </c>
      <c r="D33" s="62" t="s">
        <v>83</v>
      </c>
      <c r="E33" s="63" t="s">
        <v>86</v>
      </c>
      <c r="F33" s="63" t="s">
        <v>89</v>
      </c>
      <c r="G33" s="64" t="s">
        <v>91</v>
      </c>
      <c r="H33" s="64" t="s">
        <v>93</v>
      </c>
      <c r="I33" s="64" t="s">
        <v>94</v>
      </c>
      <c r="J33" s="64" t="s">
        <v>95</v>
      </c>
    </row>
    <row r="34" spans="3:11">
      <c r="C34" s="66">
        <v>1</v>
      </c>
      <c r="D34" s="67">
        <v>2</v>
      </c>
      <c r="E34">
        <v>-1.2874999999999996</v>
      </c>
      <c r="F34">
        <v>0.55273939006853257</v>
      </c>
      <c r="G34">
        <v>2.6331730332594616</v>
      </c>
      <c r="H34">
        <f>+F34*G34</f>
        <v>1.4554584563487427</v>
      </c>
      <c r="I34" s="69">
        <f>+E34-H34</f>
        <v>-2.7429584563487426</v>
      </c>
      <c r="J34">
        <f>+E34+H34</f>
        <v>0.16795845634874307</v>
      </c>
      <c r="K34">
        <v>1</v>
      </c>
    </row>
    <row r="35" spans="3:11">
      <c r="C35">
        <v>1</v>
      </c>
      <c r="D35">
        <v>3</v>
      </c>
      <c r="E35">
        <v>-4.8250000000000011</v>
      </c>
      <c r="F35">
        <v>0.55273939006853257</v>
      </c>
      <c r="G35">
        <v>2.6331730332594598</v>
      </c>
      <c r="H35">
        <f t="shared" ref="H35:H39" si="7">+F35*G35</f>
        <v>1.4554584563487416</v>
      </c>
      <c r="I35" s="69">
        <f t="shared" ref="I35:I39" si="8">+E35-H35</f>
        <v>-6.2804584563487431</v>
      </c>
      <c r="J35">
        <f t="shared" ref="J35:J39" si="9">+E35+H35</f>
        <v>-3.3695415436512595</v>
      </c>
    </row>
    <row r="36" spans="3:11">
      <c r="C36">
        <v>2</v>
      </c>
      <c r="D36">
        <v>1</v>
      </c>
      <c r="E36">
        <v>1.2874999999999996</v>
      </c>
      <c r="F36">
        <v>0.55273939006853257</v>
      </c>
      <c r="G36">
        <v>2.6331730332594616</v>
      </c>
      <c r="H36">
        <f>+F36*G36</f>
        <v>1.4554584563487427</v>
      </c>
      <c r="I36" s="69">
        <f>+E36-H36</f>
        <v>-0.16795845634874307</v>
      </c>
      <c r="J36">
        <f t="shared" si="9"/>
        <v>2.7429584563487426</v>
      </c>
      <c r="K36">
        <v>1</v>
      </c>
    </row>
    <row r="37" spans="3:11">
      <c r="C37">
        <v>2</v>
      </c>
      <c r="D37">
        <v>3</v>
      </c>
      <c r="E37">
        <v>-3.5375000000000014</v>
      </c>
      <c r="F37">
        <v>0.55273939006853257</v>
      </c>
      <c r="G37">
        <v>2.6331730332594616</v>
      </c>
      <c r="H37">
        <f t="shared" si="7"/>
        <v>1.4554584563487427</v>
      </c>
      <c r="I37" s="69">
        <f t="shared" si="8"/>
        <v>-4.9929584563487444</v>
      </c>
      <c r="J37">
        <f t="shared" si="9"/>
        <v>-2.0820415436512585</v>
      </c>
    </row>
    <row r="38" spans="3:11">
      <c r="C38">
        <v>3</v>
      </c>
      <c r="D38">
        <v>1</v>
      </c>
      <c r="E38">
        <v>4.8250000000000011</v>
      </c>
      <c r="F38">
        <v>0.55273939006853257</v>
      </c>
      <c r="G38">
        <v>2.6331730332594616</v>
      </c>
      <c r="H38">
        <f t="shared" si="7"/>
        <v>1.4554584563487427</v>
      </c>
      <c r="I38" s="69">
        <f t="shared" si="8"/>
        <v>3.3695415436512581</v>
      </c>
      <c r="J38">
        <f t="shared" si="9"/>
        <v>6.280458456348744</v>
      </c>
    </row>
    <row r="39" spans="3:11">
      <c r="C39">
        <v>3</v>
      </c>
      <c r="D39">
        <v>2</v>
      </c>
      <c r="E39">
        <v>3.5375000000000014</v>
      </c>
      <c r="F39">
        <v>0.55273939006853257</v>
      </c>
      <c r="G39">
        <v>2.6331730332594616</v>
      </c>
      <c r="H39">
        <f t="shared" si="7"/>
        <v>1.4554584563487427</v>
      </c>
      <c r="I39" s="69">
        <f t="shared" si="8"/>
        <v>2.0820415436512585</v>
      </c>
      <c r="J39">
        <f t="shared" si="9"/>
        <v>4.9929584563487444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1270" r:id="rId3">
          <objectPr defaultSize="0" autoPict="0" r:id="rId4">
            <anchor moveWithCells="1" sizeWithCells="1">
              <from>
                <xdr:col>9</xdr:col>
                <xdr:colOff>85725</xdr:colOff>
                <xdr:row>5</xdr:row>
                <xdr:rowOff>152400</xdr:rowOff>
              </from>
              <to>
                <xdr:col>12</xdr:col>
                <xdr:colOff>895350</xdr:colOff>
                <xdr:row>9</xdr:row>
                <xdr:rowOff>57150</xdr:rowOff>
              </to>
            </anchor>
          </objectPr>
        </oleObject>
      </mc:Choice>
      <mc:Fallback>
        <oleObject progId="Equation.3" shapeId="11270" r:id="rId3"/>
      </mc:Fallback>
    </mc:AlternateContent>
    <mc:AlternateContent xmlns:mc="http://schemas.openxmlformats.org/markup-compatibility/2006">
      <mc:Choice Requires="x14">
        <oleObject progId="Equation.3" shapeId="11271" r:id="rId5">
          <objectPr defaultSize="0" autoPict="0" r:id="rId6">
            <anchor moveWithCells="1" sizeWithCells="1">
              <from>
                <xdr:col>9</xdr:col>
                <xdr:colOff>561975</xdr:colOff>
                <xdr:row>9</xdr:row>
                <xdr:rowOff>171450</xdr:rowOff>
              </from>
              <to>
                <xdr:col>11</xdr:col>
                <xdr:colOff>0</xdr:colOff>
                <xdr:row>11</xdr:row>
                <xdr:rowOff>171450</xdr:rowOff>
              </to>
            </anchor>
          </objectPr>
        </oleObject>
      </mc:Choice>
      <mc:Fallback>
        <oleObject progId="Equation.3" shapeId="11271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Excel</vt:lpstr>
      <vt:lpstr>Datos</vt:lpstr>
      <vt:lpstr>Clase</vt:lpstr>
      <vt:lpstr>P.Homogeneidad</vt:lpstr>
      <vt:lpstr>P Scheffe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76052</dc:creator>
  <cp:lastModifiedBy>Francisco</cp:lastModifiedBy>
  <dcterms:created xsi:type="dcterms:W3CDTF">2019-10-09T17:45:00Z</dcterms:created>
  <dcterms:modified xsi:type="dcterms:W3CDTF">2022-01-13T20:10:23Z</dcterms:modified>
</cp:coreProperties>
</file>