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MODELOS LINEALES\"/>
    </mc:Choice>
  </mc:AlternateContent>
  <xr:revisionPtr revIDLastSave="0" documentId="13_ncr:1_{1114D67A-9CEE-46B2-A60D-DE91C279FFE9}" xr6:coauthVersionLast="47" xr6:coauthVersionMax="47" xr10:uidLastSave="{00000000-0000-0000-0000-000000000000}"/>
  <bookViews>
    <workbookView xWindow="-110" yWindow="-110" windowWidth="38620" windowHeight="21220" activeTab="4" xr2:uid="{870D82B2-50E4-4EFD-9818-1F76A579FA3D}"/>
  </bookViews>
  <sheets>
    <sheet name="DATOS" sheetId="3" r:id="rId1"/>
    <sheet name="Polinomio 2" sheetId="1" r:id="rId2"/>
    <sheet name="Polinomio 3" sheetId="2" r:id="rId3"/>
    <sheet name="Polinomio 4" sheetId="4" r:id="rId4"/>
    <sheet name="Conclusio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4" l="1"/>
  <c r="T28" i="4"/>
  <c r="O28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4" i="4"/>
  <c r="I42" i="4" a="1"/>
  <c r="I42" i="4" s="1"/>
  <c r="F39" i="4"/>
  <c r="F38" i="4"/>
  <c r="F37" i="4"/>
  <c r="F36" i="4"/>
  <c r="F35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4" i="4"/>
  <c r="F30" i="4"/>
  <c r="F31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4" i="4"/>
  <c r="B35" i="4"/>
  <c r="E30" i="4"/>
  <c r="F29" i="4" s="1"/>
  <c r="D30" i="4"/>
  <c r="E29" i="4" s="1"/>
  <c r="F28" i="4" s="1"/>
  <c r="D29" i="4"/>
  <c r="E28" i="4" s="1"/>
  <c r="D28" i="4"/>
  <c r="C24" i="4"/>
  <c r="R16" i="4" s="1"/>
  <c r="S16" i="4" s="1"/>
  <c r="C23" i="4"/>
  <c r="J35" i="4" s="1"/>
  <c r="B23" i="4"/>
  <c r="C35" i="4" s="1"/>
  <c r="M21" i="4"/>
  <c r="L21" i="4"/>
  <c r="K21" i="4"/>
  <c r="H21" i="4"/>
  <c r="G21" i="4"/>
  <c r="F21" i="4"/>
  <c r="E21" i="4"/>
  <c r="D21" i="4"/>
  <c r="M20" i="4"/>
  <c r="L20" i="4"/>
  <c r="K20" i="4"/>
  <c r="H20" i="4"/>
  <c r="G20" i="4"/>
  <c r="F20" i="4"/>
  <c r="E20" i="4"/>
  <c r="D20" i="4"/>
  <c r="M19" i="4"/>
  <c r="L19" i="4"/>
  <c r="K19" i="4"/>
  <c r="H19" i="4"/>
  <c r="G19" i="4"/>
  <c r="F19" i="4"/>
  <c r="E19" i="4"/>
  <c r="D19" i="4"/>
  <c r="M18" i="4"/>
  <c r="L18" i="4"/>
  <c r="K18" i="4"/>
  <c r="H18" i="4"/>
  <c r="G18" i="4"/>
  <c r="F18" i="4"/>
  <c r="E18" i="4"/>
  <c r="D18" i="4"/>
  <c r="M17" i="4"/>
  <c r="L17" i="4"/>
  <c r="K17" i="4"/>
  <c r="H17" i="4"/>
  <c r="G17" i="4"/>
  <c r="F17" i="4"/>
  <c r="E17" i="4"/>
  <c r="D17" i="4"/>
  <c r="M16" i="4"/>
  <c r="L16" i="4"/>
  <c r="K16" i="4"/>
  <c r="H16" i="4"/>
  <c r="G16" i="4"/>
  <c r="F16" i="4"/>
  <c r="E16" i="4"/>
  <c r="D16" i="4"/>
  <c r="M15" i="4"/>
  <c r="L15" i="4"/>
  <c r="K15" i="4"/>
  <c r="H15" i="4"/>
  <c r="G15" i="4"/>
  <c r="F15" i="4"/>
  <c r="E15" i="4"/>
  <c r="D15" i="4"/>
  <c r="M14" i="4"/>
  <c r="L14" i="4"/>
  <c r="K14" i="4"/>
  <c r="H14" i="4"/>
  <c r="G14" i="4"/>
  <c r="F14" i="4"/>
  <c r="E14" i="4"/>
  <c r="D14" i="4"/>
  <c r="M13" i="4"/>
  <c r="L13" i="4"/>
  <c r="K13" i="4"/>
  <c r="H13" i="4"/>
  <c r="G13" i="4"/>
  <c r="F13" i="4"/>
  <c r="E13" i="4"/>
  <c r="D13" i="4"/>
  <c r="M12" i="4"/>
  <c r="L12" i="4"/>
  <c r="K12" i="4"/>
  <c r="H12" i="4"/>
  <c r="G12" i="4"/>
  <c r="F12" i="4"/>
  <c r="E12" i="4"/>
  <c r="D12" i="4"/>
  <c r="M11" i="4"/>
  <c r="L11" i="4"/>
  <c r="K11" i="4"/>
  <c r="H11" i="4"/>
  <c r="G11" i="4"/>
  <c r="F11" i="4"/>
  <c r="E11" i="4"/>
  <c r="D11" i="4"/>
  <c r="M10" i="4"/>
  <c r="L10" i="4"/>
  <c r="K10" i="4"/>
  <c r="H10" i="4"/>
  <c r="G10" i="4"/>
  <c r="F10" i="4"/>
  <c r="E10" i="4"/>
  <c r="D10" i="4"/>
  <c r="M9" i="4"/>
  <c r="L9" i="4"/>
  <c r="K9" i="4"/>
  <c r="H9" i="4"/>
  <c r="G9" i="4"/>
  <c r="F9" i="4"/>
  <c r="E9" i="4"/>
  <c r="D9" i="4"/>
  <c r="M8" i="4"/>
  <c r="L8" i="4"/>
  <c r="K8" i="4"/>
  <c r="H8" i="4"/>
  <c r="G8" i="4"/>
  <c r="F8" i="4"/>
  <c r="E8" i="4"/>
  <c r="D8" i="4"/>
  <c r="M7" i="4"/>
  <c r="L7" i="4"/>
  <c r="K7" i="4"/>
  <c r="H7" i="4"/>
  <c r="G7" i="4"/>
  <c r="F7" i="4"/>
  <c r="E7" i="4"/>
  <c r="D7" i="4"/>
  <c r="M6" i="4"/>
  <c r="L6" i="4"/>
  <c r="K6" i="4"/>
  <c r="H6" i="4"/>
  <c r="G6" i="4"/>
  <c r="F6" i="4"/>
  <c r="E6" i="4"/>
  <c r="D6" i="4"/>
  <c r="M5" i="4"/>
  <c r="L5" i="4"/>
  <c r="K5" i="4"/>
  <c r="H5" i="4"/>
  <c r="G5" i="4"/>
  <c r="F5" i="4"/>
  <c r="E5" i="4"/>
  <c r="D5" i="4"/>
  <c r="M4" i="4"/>
  <c r="L4" i="4"/>
  <c r="K4" i="4"/>
  <c r="H4" i="4"/>
  <c r="G4" i="4"/>
  <c r="F4" i="4"/>
  <c r="E4" i="4"/>
  <c r="D4" i="4"/>
  <c r="N37" i="1"/>
  <c r="M34" i="2"/>
  <c r="N32" i="2"/>
  <c r="J23" i="4" l="1"/>
  <c r="I23" i="4"/>
  <c r="E39" i="4" s="1"/>
  <c r="N23" i="4"/>
  <c r="J39" i="4" s="1"/>
  <c r="P16" i="4"/>
  <c r="Q16" i="4" s="1"/>
  <c r="P15" i="4"/>
  <c r="Q15" i="4" s="1"/>
  <c r="P18" i="4"/>
  <c r="Q18" i="4" s="1"/>
  <c r="P17" i="4"/>
  <c r="Q17" i="4" s="1"/>
  <c r="P9" i="4"/>
  <c r="Q9" i="4" s="1"/>
  <c r="P20" i="4"/>
  <c r="Q20" i="4" s="1"/>
  <c r="P6" i="4"/>
  <c r="Q6" i="4" s="1"/>
  <c r="P19" i="4"/>
  <c r="Q19" i="4" s="1"/>
  <c r="B36" i="4"/>
  <c r="R5" i="4"/>
  <c r="S5" i="4" s="1"/>
  <c r="L23" i="4"/>
  <c r="J37" i="4" s="1"/>
  <c r="P21" i="4"/>
  <c r="Q21" i="4" s="1"/>
  <c r="R21" i="4"/>
  <c r="S21" i="4" s="1"/>
  <c r="M23" i="4"/>
  <c r="J38" i="4" s="1"/>
  <c r="H23" i="4"/>
  <c r="D23" i="4"/>
  <c r="P4" i="4"/>
  <c r="P5" i="4"/>
  <c r="Q5" i="4" s="1"/>
  <c r="G23" i="4"/>
  <c r="C39" i="4" s="1"/>
  <c r="P7" i="4"/>
  <c r="Q7" i="4" s="1"/>
  <c r="P8" i="4"/>
  <c r="Q8" i="4" s="1"/>
  <c r="F23" i="4"/>
  <c r="B39" i="4" s="1"/>
  <c r="R6" i="4"/>
  <c r="S6" i="4" s="1"/>
  <c r="P10" i="4"/>
  <c r="Q10" i="4" s="1"/>
  <c r="P11" i="4"/>
  <c r="Q11" i="4" s="1"/>
  <c r="P12" i="4"/>
  <c r="Q12" i="4" s="1"/>
  <c r="P13" i="4"/>
  <c r="Q13" i="4" s="1"/>
  <c r="R13" i="4"/>
  <c r="S13" i="4" s="1"/>
  <c r="E23" i="4"/>
  <c r="K23" i="4"/>
  <c r="P14" i="4"/>
  <c r="Q14" i="4" s="1"/>
  <c r="R14" i="4"/>
  <c r="S14" i="4" s="1"/>
  <c r="R10" i="4"/>
  <c r="S10" i="4" s="1"/>
  <c r="R18" i="4"/>
  <c r="S18" i="4" s="1"/>
  <c r="R7" i="4"/>
  <c r="S7" i="4" s="1"/>
  <c r="R15" i="4"/>
  <c r="S15" i="4" s="1"/>
  <c r="R4" i="4"/>
  <c r="R12" i="4"/>
  <c r="S12" i="4" s="1"/>
  <c r="R20" i="4"/>
  <c r="S20" i="4" s="1"/>
  <c r="R9" i="4"/>
  <c r="S9" i="4" s="1"/>
  <c r="R17" i="4"/>
  <c r="S17" i="4" s="1"/>
  <c r="R11" i="4"/>
  <c r="S11" i="4" s="1"/>
  <c r="R19" i="4"/>
  <c r="S19" i="4" s="1"/>
  <c r="R8" i="4"/>
  <c r="S8" i="4" s="1"/>
  <c r="Q28" i="2"/>
  <c r="N35" i="1"/>
  <c r="L28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4" i="2"/>
  <c r="P23" i="2" s="1"/>
  <c r="O5" i="2"/>
  <c r="O23" i="2" s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4" i="2"/>
  <c r="I41" i="2" a="1"/>
  <c r="I41" i="2" s="1"/>
  <c r="I38" i="2"/>
  <c r="I37" i="2"/>
  <c r="I36" i="2"/>
  <c r="I35" i="2"/>
  <c r="E38" i="2"/>
  <c r="E37" i="2"/>
  <c r="E36" i="2"/>
  <c r="E35" i="2"/>
  <c r="D38" i="2"/>
  <c r="D37" i="2"/>
  <c r="D36" i="2"/>
  <c r="D35" i="2"/>
  <c r="C38" i="2"/>
  <c r="C37" i="2"/>
  <c r="C36" i="2"/>
  <c r="C35" i="2"/>
  <c r="B38" i="2"/>
  <c r="B37" i="2"/>
  <c r="B36" i="2"/>
  <c r="B35" i="2"/>
  <c r="C24" i="2"/>
  <c r="L23" i="2"/>
  <c r="N23" i="2"/>
  <c r="C23" i="2"/>
  <c r="D23" i="2"/>
  <c r="E23" i="2"/>
  <c r="F23" i="2"/>
  <c r="G23" i="2"/>
  <c r="H23" i="2"/>
  <c r="I23" i="2"/>
  <c r="J23" i="2"/>
  <c r="K23" i="2"/>
  <c r="B23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F10" i="2"/>
  <c r="G10" i="2"/>
  <c r="H10" i="2"/>
  <c r="I10" i="2"/>
  <c r="J10" i="2"/>
  <c r="K10" i="2"/>
  <c r="D11" i="2"/>
  <c r="E11" i="2"/>
  <c r="F11" i="2"/>
  <c r="G11" i="2"/>
  <c r="H11" i="2"/>
  <c r="I11" i="2"/>
  <c r="J11" i="2"/>
  <c r="K11" i="2"/>
  <c r="D12" i="2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K20" i="2"/>
  <c r="D21" i="2"/>
  <c r="E21" i="2"/>
  <c r="F21" i="2"/>
  <c r="G21" i="2"/>
  <c r="H21" i="2"/>
  <c r="I21" i="2"/>
  <c r="J21" i="2"/>
  <c r="K21" i="2"/>
  <c r="K4" i="2"/>
  <c r="J4" i="2"/>
  <c r="I4" i="2"/>
  <c r="H4" i="2"/>
  <c r="G4" i="2"/>
  <c r="F4" i="2"/>
  <c r="E4" i="2"/>
  <c r="D4" i="2"/>
  <c r="E31" i="2"/>
  <c r="D30" i="2"/>
  <c r="E29" i="2" s="1"/>
  <c r="D31" i="2"/>
  <c r="E30" i="2" s="1"/>
  <c r="D29" i="2"/>
  <c r="N28" i="1"/>
  <c r="K28" i="1"/>
  <c r="M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4" i="1"/>
  <c r="C24" i="1"/>
  <c r="B33" i="1"/>
  <c r="C23" i="1"/>
  <c r="H33" i="1" s="1"/>
  <c r="B23" i="1"/>
  <c r="C33" i="1" s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21" i="1"/>
  <c r="I21" i="1" s="1"/>
  <c r="J21" i="1" s="1"/>
  <c r="K21" i="1" s="1"/>
  <c r="E20" i="1"/>
  <c r="F20" i="1" s="1"/>
  <c r="E19" i="1"/>
  <c r="F19" i="1" s="1"/>
  <c r="E18" i="1"/>
  <c r="I18" i="1" s="1"/>
  <c r="J18" i="1" s="1"/>
  <c r="K18" i="1" s="1"/>
  <c r="E17" i="1"/>
  <c r="I17" i="1" s="1"/>
  <c r="J17" i="1" s="1"/>
  <c r="K17" i="1" s="1"/>
  <c r="E16" i="1"/>
  <c r="I16" i="1" s="1"/>
  <c r="J16" i="1" s="1"/>
  <c r="K16" i="1" s="1"/>
  <c r="E15" i="1"/>
  <c r="F15" i="1" s="1"/>
  <c r="E14" i="1"/>
  <c r="I14" i="1" s="1"/>
  <c r="J14" i="1" s="1"/>
  <c r="K14" i="1" s="1"/>
  <c r="E13" i="1"/>
  <c r="I13" i="1" s="1"/>
  <c r="J13" i="1" s="1"/>
  <c r="K13" i="1" s="1"/>
  <c r="E12" i="1"/>
  <c r="F12" i="1" s="1"/>
  <c r="E11" i="1"/>
  <c r="F11" i="1" s="1"/>
  <c r="E10" i="1"/>
  <c r="I10" i="1" s="1"/>
  <c r="J10" i="1" s="1"/>
  <c r="K10" i="1" s="1"/>
  <c r="E9" i="1"/>
  <c r="I9" i="1" s="1"/>
  <c r="J9" i="1" s="1"/>
  <c r="K9" i="1" s="1"/>
  <c r="E8" i="1"/>
  <c r="I8" i="1" s="1"/>
  <c r="J8" i="1" s="1"/>
  <c r="K8" i="1" s="1"/>
  <c r="E7" i="1"/>
  <c r="F7" i="1" s="1"/>
  <c r="E6" i="1"/>
  <c r="I6" i="1" s="1"/>
  <c r="J6" i="1" s="1"/>
  <c r="K6" i="1" s="1"/>
  <c r="E5" i="1"/>
  <c r="I5" i="1" s="1"/>
  <c r="J5" i="1" s="1"/>
  <c r="K5" i="1" s="1"/>
  <c r="E4" i="1"/>
  <c r="I4" i="1" s="1"/>
  <c r="J4" i="1" s="1"/>
  <c r="K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E38" i="4" l="1"/>
  <c r="D39" i="4"/>
  <c r="J36" i="4"/>
  <c r="B37" i="4"/>
  <c r="D35" i="4"/>
  <c r="C36" i="4"/>
  <c r="C38" i="4"/>
  <c r="E36" i="4"/>
  <c r="D37" i="4"/>
  <c r="C37" i="4"/>
  <c r="E35" i="4"/>
  <c r="B38" i="4"/>
  <c r="D36" i="4"/>
  <c r="D38" i="4"/>
  <c r="E37" i="4"/>
  <c r="O23" i="4"/>
  <c r="P23" i="4"/>
  <c r="Q4" i="4"/>
  <c r="Q23" i="4" s="1"/>
  <c r="R23" i="4"/>
  <c r="S4" i="4"/>
  <c r="S23" i="4" s="1"/>
  <c r="M23" i="2"/>
  <c r="H23" i="1"/>
  <c r="D35" i="1" s="1"/>
  <c r="F8" i="1"/>
  <c r="F9" i="1"/>
  <c r="F16" i="1"/>
  <c r="F17" i="1"/>
  <c r="I20" i="1"/>
  <c r="J20" i="1" s="1"/>
  <c r="K20" i="1" s="1"/>
  <c r="G23" i="1"/>
  <c r="D34" i="1" s="1"/>
  <c r="D23" i="1"/>
  <c r="H34" i="1" s="1"/>
  <c r="I12" i="1"/>
  <c r="J12" i="1" s="1"/>
  <c r="K12" i="1" s="1"/>
  <c r="I19" i="1"/>
  <c r="J19" i="1" s="1"/>
  <c r="K19" i="1" s="1"/>
  <c r="I11" i="1"/>
  <c r="J11" i="1" s="1"/>
  <c r="K11" i="1" s="1"/>
  <c r="F10" i="1"/>
  <c r="F18" i="1"/>
  <c r="B34" i="1"/>
  <c r="F4" i="1"/>
  <c r="F5" i="1"/>
  <c r="F13" i="1"/>
  <c r="F21" i="1"/>
  <c r="E23" i="1"/>
  <c r="I15" i="1"/>
  <c r="J15" i="1" s="1"/>
  <c r="K15" i="1" s="1"/>
  <c r="I7" i="1"/>
  <c r="J7" i="1" s="1"/>
  <c r="K7" i="1" s="1"/>
  <c r="F6" i="1"/>
  <c r="F14" i="1"/>
  <c r="K23" i="1" l="1"/>
  <c r="C35" i="1"/>
  <c r="D33" i="1"/>
  <c r="H38" i="1" s="1" a="1"/>
  <c r="H38" i="1" s="1"/>
  <c r="C34" i="1"/>
  <c r="B35" i="1"/>
  <c r="F23" i="1"/>
  <c r="H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<sst xmlns="http://schemas.openxmlformats.org/spreadsheetml/2006/main" count="188" uniqueCount="58">
  <si>
    <t>Año</t>
  </si>
  <si>
    <t>X</t>
  </si>
  <si>
    <t>Y</t>
  </si>
  <si>
    <t>Población Millones</t>
  </si>
  <si>
    <t>X^2</t>
  </si>
  <si>
    <t>XY</t>
  </si>
  <si>
    <t>X^2Y</t>
  </si>
  <si>
    <t>X^3</t>
  </si>
  <si>
    <t>X^4</t>
  </si>
  <si>
    <t>SUMAS</t>
  </si>
  <si>
    <t>*</t>
  </si>
  <si>
    <t>B0</t>
  </si>
  <si>
    <t>B1</t>
  </si>
  <si>
    <t>B2</t>
  </si>
  <si>
    <t>=</t>
  </si>
  <si>
    <t>Y estimada</t>
  </si>
  <si>
    <t>n</t>
  </si>
  <si>
    <t>SumX</t>
  </si>
  <si>
    <t>SumX^2</t>
  </si>
  <si>
    <t>SumX^3</t>
  </si>
  <si>
    <t>SumX^4</t>
  </si>
  <si>
    <t>SumY</t>
  </si>
  <si>
    <t>SumXY</t>
  </si>
  <si>
    <t>SumX^2Y</t>
  </si>
  <si>
    <t>Y-Yestimada</t>
  </si>
  <si>
    <t>SSE</t>
  </si>
  <si>
    <t>SST</t>
  </si>
  <si>
    <t>MEDIA</t>
  </si>
  <si>
    <t>Y-Ymedia</t>
  </si>
  <si>
    <t>R^2</t>
  </si>
  <si>
    <t>AIC</t>
  </si>
  <si>
    <t>R^2 adj</t>
  </si>
  <si>
    <t>SumX^5</t>
  </si>
  <si>
    <t>SumX^6</t>
  </si>
  <si>
    <t>B3</t>
  </si>
  <si>
    <t>SumX^3Y</t>
  </si>
  <si>
    <t>PROMEDIO</t>
  </si>
  <si>
    <t>X^5</t>
  </si>
  <si>
    <t>X^6</t>
  </si>
  <si>
    <t>X^3Y</t>
  </si>
  <si>
    <t>Prediccion</t>
  </si>
  <si>
    <t>Predicción</t>
  </si>
  <si>
    <t>Error relativo</t>
  </si>
  <si>
    <t>SumX^7</t>
  </si>
  <si>
    <t>B4</t>
  </si>
  <si>
    <t>SumX^4Y</t>
  </si>
  <si>
    <t>X^7</t>
  </si>
  <si>
    <t>X^4Y</t>
  </si>
  <si>
    <t>SumX^8</t>
  </si>
  <si>
    <t>X^8</t>
  </si>
  <si>
    <t>MODELO</t>
  </si>
  <si>
    <t>R^2 AJUSTADA</t>
  </si>
  <si>
    <t>BIC</t>
  </si>
  <si>
    <t>Pol 2</t>
  </si>
  <si>
    <t>Pol 3</t>
  </si>
  <si>
    <t>Plo 4</t>
  </si>
  <si>
    <t>ERROR ABSOLUTO RELATIVO PREDICCIÓN</t>
  </si>
  <si>
    <t>Se escoge el modelo del Polinomio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</si>
</sst>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72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43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4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4" fillId="3" borderId="1" xfId="0" applyFont="1" applyFill="1" applyBorder="1" applyAlignment="1">
      <alignment horizontal="center"/>
    </xf>
    <xf numFmtId="164" fontId="0" fillId="0" borderId="0" xfId="0" applyNumberFormat="1" applyBorder="1"/>
    <xf numFmtId="0" fontId="4" fillId="3" borderId="0" xfId="0" applyFont="1" applyFill="1"/>
    <xf numFmtId="172" fontId="0" fillId="0" borderId="0" xfId="0" applyNumberFormat="1"/>
    <xf numFmtId="164" fontId="0" fillId="0" borderId="0" xfId="1" applyNumberFormat="1" applyFont="1" applyBorder="1"/>
    <xf numFmtId="0" fontId="4" fillId="3" borderId="0" xfId="0" applyFont="1" applyFill="1" applyAlignment="1">
      <alignment horizontal="center"/>
    </xf>
    <xf numFmtId="10" fontId="0" fillId="0" borderId="0" xfId="2" applyNumberFormat="1" applyFont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0" fontId="0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powe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'Población México'!#REF!</c:f>
            </c:numRef>
          </c:xVal>
          <c:yVal>
            <c:numRef>
              <c:f>'Población México'!#REF!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F-4AB1-AC38-E55102A73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27200"/>
        <c:axId val="172827776"/>
      </c:scatterChart>
      <c:valAx>
        <c:axId val="17282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827776"/>
        <c:crosses val="autoZero"/>
        <c:crossBetween val="midCat"/>
      </c:valAx>
      <c:valAx>
        <c:axId val="17282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27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'Polinomio 2'!$C$3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'Polinomio 2'!$B$4:$B$21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2'!$C$4:$C$21</c:f>
              <c:numCache>
                <c:formatCode>_-* #,##0.0_-;\-* #,##0.0_-;_-* "-"??_-;_-@_-</c:formatCode>
                <c:ptCount val="18"/>
                <c:pt idx="0">
                  <c:v>7.8</c:v>
                </c:pt>
                <c:pt idx="1">
                  <c:v>7.5</c:v>
                </c:pt>
                <c:pt idx="2">
                  <c:v>8.3000000000000007</c:v>
                </c:pt>
                <c:pt idx="3">
                  <c:v>8.4</c:v>
                </c:pt>
                <c:pt idx="4">
                  <c:v>9</c:v>
                </c:pt>
                <c:pt idx="5">
                  <c:v>9.5</c:v>
                </c:pt>
                <c:pt idx="6">
                  <c:v>13.6</c:v>
                </c:pt>
                <c:pt idx="7">
                  <c:v>15.2</c:v>
                </c:pt>
                <c:pt idx="8">
                  <c:v>15.6</c:v>
                </c:pt>
                <c:pt idx="9">
                  <c:v>19.600000000000001</c:v>
                </c:pt>
                <c:pt idx="10">
                  <c:v>25.8</c:v>
                </c:pt>
                <c:pt idx="11">
                  <c:v>34.4</c:v>
                </c:pt>
                <c:pt idx="12">
                  <c:v>48.2</c:v>
                </c:pt>
                <c:pt idx="13">
                  <c:v>66.8</c:v>
                </c:pt>
                <c:pt idx="14">
                  <c:v>81.249645000000001</c:v>
                </c:pt>
                <c:pt idx="15">
                  <c:v>97.483412000000001</c:v>
                </c:pt>
                <c:pt idx="16">
                  <c:v>112.336538</c:v>
                </c:pt>
                <c:pt idx="17">
                  <c:v>126.01402400000001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24-4C92-9585-A1D35ECD832B}"/>
            </c:ext>
          </c:extLst>
        </c:ser>
        <c:ser>
          <c:idx val="1"/>
          <c:order val="1"/>
          <c:tx>
            <c:strRef>
              <c:f>'Polinomio 2'!$I$3</c:f>
              <c:strCache>
                <c:ptCount val="1"/>
                <c:pt idx="0">
                  <c:v>Y estimada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'Polinomio 2'!$B$4:$B$21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2'!$I$4:$I$21</c:f>
              <c:numCache>
                <c:formatCode>General</c:formatCode>
                <c:ptCount val="18"/>
                <c:pt idx="0">
                  <c:v>16.391953834048763</c:v>
                </c:pt>
                <c:pt idx="1">
                  <c:v>11.272120381941932</c:v>
                </c:pt>
                <c:pt idx="2">
                  <c:v>6.8078473135901731</c:v>
                </c:pt>
                <c:pt idx="3">
                  <c:v>5.7269143693956721</c:v>
                </c:pt>
                <c:pt idx="4">
                  <c:v>3.9152403058214986</c:v>
                </c:pt>
                <c:pt idx="5">
                  <c:v>3.5468339991566609</c:v>
                </c:pt>
                <c:pt idx="6">
                  <c:v>5.611555984345614</c:v>
                </c:pt>
                <c:pt idx="7">
                  <c:v>8.634884104008961</c:v>
                </c:pt>
                <c:pt idx="8">
                  <c:v>17.884584114217432</c:v>
                </c:pt>
                <c:pt idx="9">
                  <c:v>25.339082436534227</c:v>
                </c:pt>
                <c:pt idx="10">
                  <c:v>33.45188653855439</c:v>
                </c:pt>
                <c:pt idx="11">
                  <c:v>42.837059636163758</c:v>
                </c:pt>
                <c:pt idx="12">
                  <c:v>53.49460172936233</c:v>
                </c:pt>
                <c:pt idx="13">
                  <c:v>65.424512818146468</c:v>
                </c:pt>
                <c:pt idx="14">
                  <c:v>78.626792902523448</c:v>
                </c:pt>
                <c:pt idx="15">
                  <c:v>93.101441982489632</c:v>
                </c:pt>
                <c:pt idx="16">
                  <c:v>108.84846005804502</c:v>
                </c:pt>
                <c:pt idx="17">
                  <c:v>125.86784712918598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24-4C92-9585-A1D35ECD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769488"/>
        <c:axId val="1479759088"/>
      </c:scatterChart>
      <c:valAx>
        <c:axId val="1479769488"/>
        <c:scaling>
          <c:orientation val="minMax"/>
          <c:min val="183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9759088"/>
        <c:crosses val="autoZero"/>
        <c:crossBetween val="midCat"/>
      </c:valAx>
      <c:valAx>
        <c:axId val="1479759088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976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'Polinomio 3'!$C$3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'Polinomio 3'!$B$4:$B$21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3'!$C$4:$C$21</c:f>
              <c:numCache>
                <c:formatCode>_-* #,##0.0_-;\-* #,##0.0_-;_-* "-"??_-;_-@_-</c:formatCode>
                <c:ptCount val="18"/>
                <c:pt idx="0">
                  <c:v>7.8</c:v>
                </c:pt>
                <c:pt idx="1">
                  <c:v>7.5</c:v>
                </c:pt>
                <c:pt idx="2">
                  <c:v>8.3000000000000007</c:v>
                </c:pt>
                <c:pt idx="3">
                  <c:v>8.4</c:v>
                </c:pt>
                <c:pt idx="4">
                  <c:v>9</c:v>
                </c:pt>
                <c:pt idx="5">
                  <c:v>9.5</c:v>
                </c:pt>
                <c:pt idx="6">
                  <c:v>13.6</c:v>
                </c:pt>
                <c:pt idx="7">
                  <c:v>15.2</c:v>
                </c:pt>
                <c:pt idx="8">
                  <c:v>15.6</c:v>
                </c:pt>
                <c:pt idx="9">
                  <c:v>19.600000000000001</c:v>
                </c:pt>
                <c:pt idx="10">
                  <c:v>25.8</c:v>
                </c:pt>
                <c:pt idx="11">
                  <c:v>34.4</c:v>
                </c:pt>
                <c:pt idx="12">
                  <c:v>48.2</c:v>
                </c:pt>
                <c:pt idx="13">
                  <c:v>66.8</c:v>
                </c:pt>
                <c:pt idx="14">
                  <c:v>81.249645000000001</c:v>
                </c:pt>
                <c:pt idx="15">
                  <c:v>97.483412000000001</c:v>
                </c:pt>
                <c:pt idx="16">
                  <c:v>112.336538</c:v>
                </c:pt>
                <c:pt idx="17">
                  <c:v>126.01402400000001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3E-42EF-A31A-F72DCE030CFA}"/>
            </c:ext>
          </c:extLst>
        </c:ser>
        <c:ser>
          <c:idx val="1"/>
          <c:order val="1"/>
          <c:tx>
            <c:strRef>
              <c:f>'Polinomio 3'!$L$3</c:f>
              <c:strCache>
                <c:ptCount val="1"/>
                <c:pt idx="0">
                  <c:v>Y estimada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'Polinomio 3'!$B$4:$B$21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3'!$L$4:$L$21</c:f>
              <c:numCache>
                <c:formatCode>General</c:formatCode>
                <c:ptCount val="18"/>
                <c:pt idx="0">
                  <c:v>8.7451638380298391</c:v>
                </c:pt>
                <c:pt idx="1">
                  <c:v>8.6195543607755098</c:v>
                </c:pt>
                <c:pt idx="2">
                  <c:v>8.3100276783225127</c:v>
                </c:pt>
                <c:pt idx="3">
                  <c:v>8.2150709948327858</c:v>
                </c:pt>
                <c:pt idx="4">
                  <c:v>8.097846508375369</c:v>
                </c:pt>
                <c:pt idx="5">
                  <c:v>8.1273219366266858</c:v>
                </c:pt>
                <c:pt idx="6">
                  <c:v>9.9374483068240806</c:v>
                </c:pt>
                <c:pt idx="7">
                  <c:v>11.880739168263972</c:v>
                </c:pt>
                <c:pt idx="8">
                  <c:v>18.319824699981837</c:v>
                </c:pt>
                <c:pt idx="9">
                  <c:v>24.063398374797544</c:v>
                </c:pt>
                <c:pt idx="10">
                  <c:v>30.803355197509518</c:v>
                </c:pt>
                <c:pt idx="11">
                  <c:v>39.163584670313867</c:v>
                </c:pt>
                <c:pt idx="12">
                  <c:v>49.312529257207643</c:v>
                </c:pt>
                <c:pt idx="13">
                  <c:v>61.418631422071485</c:v>
                </c:pt>
                <c:pt idx="14">
                  <c:v>75.650333628844237</c:v>
                </c:pt>
                <c:pt idx="15">
                  <c:v>92.176078341435641</c:v>
                </c:pt>
                <c:pt idx="16">
                  <c:v>111.16430802375544</c:v>
                </c:pt>
                <c:pt idx="17">
                  <c:v>132.78346513977158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3E-42EF-A31A-F72DCE030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27472"/>
        <c:axId val="801204880"/>
      </c:scatterChart>
      <c:valAx>
        <c:axId val="559027472"/>
        <c:scaling>
          <c:orientation val="minMax"/>
          <c:min val="183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1204880"/>
        <c:crosses val="autoZero"/>
        <c:crossBetween val="midCat"/>
      </c:valAx>
      <c:valAx>
        <c:axId val="801204880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902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'Polinomio 4'!$C$3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4605951698512223"/>
                  <c:y val="1.8685665651412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'Polinomio 4'!$B$4:$B$21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4'!$C$4:$C$21</c:f>
              <c:numCache>
                <c:formatCode>_-* #,##0.0_-;\-* #,##0.0_-;_-* "-"??_-;_-@_-</c:formatCode>
                <c:ptCount val="18"/>
                <c:pt idx="0">
                  <c:v>7.8</c:v>
                </c:pt>
                <c:pt idx="1">
                  <c:v>7.5</c:v>
                </c:pt>
                <c:pt idx="2">
                  <c:v>8.3000000000000007</c:v>
                </c:pt>
                <c:pt idx="3">
                  <c:v>8.4</c:v>
                </c:pt>
                <c:pt idx="4">
                  <c:v>9</c:v>
                </c:pt>
                <c:pt idx="5">
                  <c:v>9.5</c:v>
                </c:pt>
                <c:pt idx="6">
                  <c:v>13.6</c:v>
                </c:pt>
                <c:pt idx="7">
                  <c:v>15.2</c:v>
                </c:pt>
                <c:pt idx="8">
                  <c:v>15.6</c:v>
                </c:pt>
                <c:pt idx="9">
                  <c:v>19.600000000000001</c:v>
                </c:pt>
                <c:pt idx="10">
                  <c:v>25.8</c:v>
                </c:pt>
                <c:pt idx="11">
                  <c:v>34.4</c:v>
                </c:pt>
                <c:pt idx="12">
                  <c:v>48.2</c:v>
                </c:pt>
                <c:pt idx="13">
                  <c:v>66.8</c:v>
                </c:pt>
                <c:pt idx="14">
                  <c:v>81.249645000000001</c:v>
                </c:pt>
                <c:pt idx="15">
                  <c:v>97.483412000000001</c:v>
                </c:pt>
                <c:pt idx="16">
                  <c:v>112.336538</c:v>
                </c:pt>
                <c:pt idx="17">
                  <c:v>126.01402400000001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18-49B8-9EF0-07B56FE09E23}"/>
            </c:ext>
          </c:extLst>
        </c:ser>
        <c:ser>
          <c:idx val="1"/>
          <c:order val="1"/>
          <c:tx>
            <c:strRef>
              <c:f>'Polinomio 4'!$O$3</c:f>
              <c:strCache>
                <c:ptCount val="1"/>
                <c:pt idx="0">
                  <c:v>Y estimada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'Polinomio 4'!$B$4:$B$21</c:f>
              <c:numCache>
                <c:formatCode>General</c:formatCode>
                <c:ptCount val="18"/>
                <c:pt idx="0">
                  <c:v>1836</c:v>
                </c:pt>
                <c:pt idx="1">
                  <c:v>1846</c:v>
                </c:pt>
                <c:pt idx="2">
                  <c:v>1858</c:v>
                </c:pt>
                <c:pt idx="3">
                  <c:v>1862</c:v>
                </c:pt>
                <c:pt idx="4">
                  <c:v>1872</c:v>
                </c:pt>
                <c:pt idx="5">
                  <c:v>1876</c:v>
                </c:pt>
                <c:pt idx="6">
                  <c:v>1900</c:v>
                </c:pt>
                <c:pt idx="7">
                  <c:v>1910</c:v>
                </c:pt>
                <c:pt idx="8">
                  <c:v>1929</c:v>
                </c:pt>
                <c:pt idx="9">
                  <c:v>1940</c:v>
                </c:pt>
                <c:pt idx="10">
                  <c:v>1950</c:v>
                </c:pt>
                <c:pt idx="11">
                  <c:v>1960</c:v>
                </c:pt>
                <c:pt idx="12">
                  <c:v>1970</c:v>
                </c:pt>
                <c:pt idx="13">
                  <c:v>1980</c:v>
                </c:pt>
                <c:pt idx="14">
                  <c:v>1990</c:v>
                </c:pt>
                <c:pt idx="15">
                  <c:v>2000</c:v>
                </c:pt>
                <c:pt idx="16">
                  <c:v>2010</c:v>
                </c:pt>
                <c:pt idx="17">
                  <c:v>2020</c:v>
                </c:pt>
              </c:numCache>
            </c:numRef>
          </c:xVal>
          <c:yVal>
            <c:numRef>
              <c:f>'Polinomio 4'!$O$4:$O$21</c:f>
              <c:numCache>
                <c:formatCode>General</c:formatCode>
                <c:ptCount val="18"/>
                <c:pt idx="0">
                  <c:v>16.391953781540025</c:v>
                </c:pt>
                <c:pt idx="1">
                  <c:v>11.272120304572537</c:v>
                </c:pt>
                <c:pt idx="2">
                  <c:v>6.8078472131312635</c:v>
                </c:pt>
                <c:pt idx="3">
                  <c:v>5.7269142627527332</c:v>
                </c:pt>
                <c:pt idx="4">
                  <c:v>3.9152401867110855</c:v>
                </c:pt>
                <c:pt idx="5">
                  <c:v>3.5468338761820517</c:v>
                </c:pt>
                <c:pt idx="6">
                  <c:v>5.6115558497753755</c:v>
                </c:pt>
                <c:pt idx="7">
                  <c:v>8.634883969441848</c:v>
                </c:pt>
                <c:pt idx="8">
                  <c:v>17.884583985224999</c:v>
                </c:pt>
                <c:pt idx="9">
                  <c:v>25.339082313071522</c:v>
                </c:pt>
                <c:pt idx="10">
                  <c:v>33.451886420914001</c:v>
                </c:pt>
                <c:pt idx="11">
                  <c:v>42.837059524619761</c:v>
                </c:pt>
                <c:pt idx="12">
                  <c:v>53.494601623721699</c:v>
                </c:pt>
                <c:pt idx="13">
                  <c:v>65.424512717733307</c:v>
                </c:pt>
                <c:pt idx="14">
                  <c:v>78.626792806188661</c:v>
                </c:pt>
                <c:pt idx="15">
                  <c:v>93.10144188859519</c:v>
                </c:pt>
                <c:pt idx="16">
                  <c:v>108.84845996448814</c:v>
                </c:pt>
                <c:pt idx="17">
                  <c:v>125.86784703337251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18-49B8-9EF0-07B56FE0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207232"/>
        <c:axId val="990205568"/>
      </c:scatterChart>
      <c:valAx>
        <c:axId val="9902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0205568"/>
        <c:crosses val="autoZero"/>
        <c:crossBetween val="midCat"/>
      </c:valAx>
      <c:valAx>
        <c:axId val="990205568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0207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3</xdr:col>
      <xdr:colOff>0</xdr:colOff>
      <xdr:row>43</xdr:row>
      <xdr:rowOff>0</xdr:rowOff>
    </xdr:to>
    <xdr:graphicFrame macro="">
      <xdr:nvGraphicFramePr>
        <xdr:cNvPr id="9" name="2 Gráfico">
          <a:extLst>
            <a:ext uri="{FF2B5EF4-FFF2-40B4-BE49-F238E27FC236}">
              <a16:creationId xmlns:a16="http://schemas.microsoft.com/office/drawing/2014/main" id="{2E791B44-2CDE-448B-A1A7-290998A19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426357</xdr:colOff>
      <xdr:row>53</xdr:row>
      <xdr:rowOff>27215</xdr:rowOff>
    </xdr:from>
    <xdr:to>
      <xdr:col>10</xdr:col>
      <xdr:colOff>462797</xdr:colOff>
      <xdr:row>64</xdr:row>
      <xdr:rowOff>89187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532EA9-6135-47BA-AE96-E020DCC2D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357" y="9642929"/>
          <a:ext cx="7602011" cy="20576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53974</xdr:rowOff>
    </xdr:from>
    <xdr:to>
      <xdr:col>11</xdr:col>
      <xdr:colOff>725713</xdr:colOff>
      <xdr:row>76</xdr:row>
      <xdr:rowOff>81643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45B42C-9976-4D78-83D6-AC2925B47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680357</xdr:colOff>
      <xdr:row>32</xdr:row>
      <xdr:rowOff>172359</xdr:rowOff>
    </xdr:from>
    <xdr:to>
      <xdr:col>22</xdr:col>
      <xdr:colOff>528787</xdr:colOff>
      <xdr:row>35</xdr:row>
      <xdr:rowOff>171074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0CD773-5A59-4A5C-996B-2ED7676D2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37143" y="5978073"/>
          <a:ext cx="5944430" cy="543001"/>
        </a:xfrm>
        <a:prstGeom prst="rect">
          <a:avLst/>
        </a:prstGeom>
      </xdr:spPr>
    </xdr:pic>
    <xdr:clientData/>
  </xdr:twoCellAnchor>
  <xdr:twoCellAnchor editAs="oneCell">
    <xdr:from>
      <xdr:col>14</xdr:col>
      <xdr:colOff>81642</xdr:colOff>
      <xdr:row>0</xdr:row>
      <xdr:rowOff>0</xdr:rowOff>
    </xdr:from>
    <xdr:to>
      <xdr:col>20</xdr:col>
      <xdr:colOff>54428</xdr:colOff>
      <xdr:row>31</xdr:row>
      <xdr:rowOff>11955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A10D1E-5BDF-4457-A053-18315A7C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38428" y="0"/>
          <a:ext cx="4544786" cy="5636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444045</xdr:colOff>
      <xdr:row>34</xdr:row>
      <xdr:rowOff>92074</xdr:rowOff>
    </xdr:from>
    <xdr:to>
      <xdr:col>22</xdr:col>
      <xdr:colOff>72571</xdr:colOff>
      <xdr:row>65</xdr:row>
      <xdr:rowOff>172357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93131-8A1F-487B-BC61-93DEE7E5A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0</xdr:row>
      <xdr:rowOff>0</xdr:rowOff>
    </xdr:from>
    <xdr:to>
      <xdr:col>22</xdr:col>
      <xdr:colOff>571551</xdr:colOff>
      <xdr:row>28</xdr:row>
      <xdr:rowOff>26113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8FD323-B031-434B-AF6F-E23002C00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6786" y="0"/>
          <a:ext cx="3610479" cy="5106113"/>
        </a:xfrm>
        <a:prstGeom prst="rect">
          <a:avLst/>
        </a:prstGeom>
      </xdr:spPr>
    </xdr:pic>
    <xdr:clientData/>
  </xdr:twoCellAnchor>
  <xdr:twoCellAnchor editAs="oneCell">
    <xdr:from>
      <xdr:col>15</xdr:col>
      <xdr:colOff>816428</xdr:colOff>
      <xdr:row>29</xdr:row>
      <xdr:rowOff>163286</xdr:rowOff>
    </xdr:from>
    <xdr:to>
      <xdr:col>24</xdr:col>
      <xdr:colOff>1073072</xdr:colOff>
      <xdr:row>32</xdr:row>
      <xdr:rowOff>162002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EC03BB-348B-49C4-B622-827F7ABAE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9928" y="5424715"/>
          <a:ext cx="5944430" cy="5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527050</xdr:colOff>
      <xdr:row>0</xdr:row>
      <xdr:rowOff>31750</xdr:rowOff>
    </xdr:from>
    <xdr:to>
      <xdr:col>26</xdr:col>
      <xdr:colOff>535728</xdr:colOff>
      <xdr:row>30</xdr:row>
      <xdr:rowOff>27089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568CF3-4DF5-45FE-8006-C02CE465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9650" y="31750"/>
          <a:ext cx="3666278" cy="5519839"/>
        </a:xfrm>
        <a:prstGeom prst="rect">
          <a:avLst/>
        </a:prstGeom>
      </xdr:spPr>
    </xdr:pic>
    <xdr:clientData/>
  </xdr:twoCellAnchor>
  <xdr:twoCellAnchor editAs="oneCell">
    <xdr:from>
      <xdr:col>15</xdr:col>
      <xdr:colOff>596900</xdr:colOff>
      <xdr:row>31</xdr:row>
      <xdr:rowOff>0</xdr:rowOff>
    </xdr:from>
    <xdr:to>
      <xdr:col>25</xdr:col>
      <xdr:colOff>204030</xdr:colOff>
      <xdr:row>33</xdr:row>
      <xdr:rowOff>174701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7E6A96-C5E4-4C5D-9889-609555547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0200" y="5708650"/>
          <a:ext cx="5944430" cy="543001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35</xdr:row>
      <xdr:rowOff>15874</xdr:rowOff>
    </xdr:from>
    <xdr:to>
      <xdr:col>18</xdr:col>
      <xdr:colOff>425449</xdr:colOff>
      <xdr:row>60</xdr:row>
      <xdr:rowOff>82549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90966F-2E74-41D0-8545-CD2A29518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387351</xdr:colOff>
      <xdr:row>34</xdr:row>
      <xdr:rowOff>0</xdr:rowOff>
    </xdr:from>
    <xdr:to>
      <xdr:col>28</xdr:col>
      <xdr:colOff>304801</xdr:colOff>
      <xdr:row>40</xdr:row>
      <xdr:rowOff>50442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6396F0-804C-4D3E-BA53-A4214C59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10351" y="6261100"/>
          <a:ext cx="5403850" cy="1155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8</xdr:col>
      <xdr:colOff>277586</xdr:colOff>
      <xdr:row>46</xdr:row>
      <xdr:rowOff>111741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0B6A1E-D977-4ED8-86CF-2F2F3B828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46400"/>
          <a:ext cx="4544786" cy="5636241"/>
        </a:xfrm>
        <a:prstGeom prst="rect">
          <a:avLst/>
        </a:prstGeom>
      </xdr:spPr>
    </xdr:pic>
    <xdr:clientData/>
  </xdr:twoCellAnchor>
  <xdr:twoCellAnchor editAs="oneCell">
    <xdr:from>
      <xdr:col>8</xdr:col>
      <xdr:colOff>260350</xdr:colOff>
      <xdr:row>16</xdr:row>
      <xdr:rowOff>0</xdr:rowOff>
    </xdr:from>
    <xdr:to>
      <xdr:col>13</xdr:col>
      <xdr:colOff>571500</xdr:colOff>
      <xdr:row>46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AA2EA-3C16-498F-B1B6-DE934DC86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7150" y="2946400"/>
          <a:ext cx="4051300" cy="5626100"/>
        </a:xfrm>
        <a:prstGeom prst="rect">
          <a:avLst/>
        </a:prstGeom>
      </xdr:spPr>
    </xdr:pic>
    <xdr:clientData/>
  </xdr:twoCellAnchor>
  <xdr:twoCellAnchor editAs="oneCell">
    <xdr:from>
      <xdr:col>13</xdr:col>
      <xdr:colOff>565150</xdr:colOff>
      <xdr:row>16</xdr:row>
      <xdr:rowOff>6350</xdr:rowOff>
    </xdr:from>
    <xdr:to>
      <xdr:col>20</xdr:col>
      <xdr:colOff>76200</xdr:colOff>
      <xdr:row>46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326E1D-0579-4E90-BA9C-F68D348F0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2100" y="2952750"/>
          <a:ext cx="3778250" cy="564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4627-5461-4B18-ADE7-A2267A4AEEDC}">
  <dimension ref="A1:B19"/>
  <sheetViews>
    <sheetView workbookViewId="0">
      <selection activeCell="E44" sqref="E44"/>
    </sheetView>
  </sheetViews>
  <sheetFormatPr defaultRowHeight="14.5" x14ac:dyDescent="0.35"/>
  <sheetData>
    <row r="1" spans="1:2" x14ac:dyDescent="0.35">
      <c r="A1" s="3" t="s">
        <v>1</v>
      </c>
      <c r="B1" s="3" t="s">
        <v>2</v>
      </c>
    </row>
    <row r="2" spans="1:2" x14ac:dyDescent="0.35">
      <c r="A2" s="6">
        <v>1836</v>
      </c>
      <c r="B2" s="7">
        <v>7.8</v>
      </c>
    </row>
    <row r="3" spans="1:2" x14ac:dyDescent="0.35">
      <c r="A3" s="6">
        <v>1846</v>
      </c>
      <c r="B3" s="7">
        <v>7.5</v>
      </c>
    </row>
    <row r="4" spans="1:2" x14ac:dyDescent="0.35">
      <c r="A4" s="6">
        <v>1858</v>
      </c>
      <c r="B4" s="7">
        <v>8.3000000000000007</v>
      </c>
    </row>
    <row r="5" spans="1:2" x14ac:dyDescent="0.35">
      <c r="A5" s="6">
        <v>1862</v>
      </c>
      <c r="B5" s="7">
        <v>8.4</v>
      </c>
    </row>
    <row r="6" spans="1:2" x14ac:dyDescent="0.35">
      <c r="A6" s="6">
        <v>1872</v>
      </c>
      <c r="B6" s="7">
        <v>9</v>
      </c>
    </row>
    <row r="7" spans="1:2" x14ac:dyDescent="0.35">
      <c r="A7" s="6">
        <v>1876</v>
      </c>
      <c r="B7" s="7">
        <v>9.5</v>
      </c>
    </row>
    <row r="8" spans="1:2" x14ac:dyDescent="0.35">
      <c r="A8" s="6">
        <v>1900</v>
      </c>
      <c r="B8" s="7">
        <v>13.6</v>
      </c>
    </row>
    <row r="9" spans="1:2" x14ac:dyDescent="0.35">
      <c r="A9" s="6">
        <v>1910</v>
      </c>
      <c r="B9" s="7">
        <v>15.2</v>
      </c>
    </row>
    <row r="10" spans="1:2" x14ac:dyDescent="0.35">
      <c r="A10" s="6">
        <v>1929</v>
      </c>
      <c r="B10" s="7">
        <v>15.6</v>
      </c>
    </row>
    <row r="11" spans="1:2" x14ac:dyDescent="0.35">
      <c r="A11" s="6">
        <v>1940</v>
      </c>
      <c r="B11" s="7">
        <v>19.600000000000001</v>
      </c>
    </row>
    <row r="12" spans="1:2" x14ac:dyDescent="0.35">
      <c r="A12" s="6">
        <v>1950</v>
      </c>
      <c r="B12" s="7">
        <v>25.8</v>
      </c>
    </row>
    <row r="13" spans="1:2" x14ac:dyDescent="0.35">
      <c r="A13" s="6">
        <v>1960</v>
      </c>
      <c r="B13" s="7">
        <v>34.4</v>
      </c>
    </row>
    <row r="14" spans="1:2" x14ac:dyDescent="0.35">
      <c r="A14" s="6">
        <v>1970</v>
      </c>
      <c r="B14" s="7">
        <v>48.2</v>
      </c>
    </row>
    <row r="15" spans="1:2" x14ac:dyDescent="0.35">
      <c r="A15" s="6">
        <v>1980</v>
      </c>
      <c r="B15" s="7">
        <v>66.8</v>
      </c>
    </row>
    <row r="16" spans="1:2" x14ac:dyDescent="0.35">
      <c r="A16" s="6">
        <v>1990</v>
      </c>
      <c r="B16" s="7">
        <v>81.249645000000001</v>
      </c>
    </row>
    <row r="17" spans="1:2" x14ac:dyDescent="0.35">
      <c r="A17" s="6">
        <v>2000</v>
      </c>
      <c r="B17" s="7">
        <v>97.483412000000001</v>
      </c>
    </row>
    <row r="18" spans="1:2" x14ac:dyDescent="0.35">
      <c r="A18" s="6">
        <v>2010</v>
      </c>
      <c r="B18" s="7">
        <v>112.336538</v>
      </c>
    </row>
    <row r="19" spans="1:2" x14ac:dyDescent="0.35">
      <c r="A19" s="6">
        <v>2020</v>
      </c>
      <c r="B19" s="7">
        <v>126.01402400000001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48E1-2DB7-426E-8AC6-75523ADE4CF5}">
  <dimension ref="A2:N45"/>
  <sheetViews>
    <sheetView zoomScale="70" zoomScaleNormal="70" workbookViewId="0">
      <selection activeCell="N39" sqref="N39"/>
    </sheetView>
  </sheetViews>
  <sheetFormatPr defaultColWidth="10.90625" defaultRowHeight="14.5" x14ac:dyDescent="0.35"/>
  <cols>
    <col min="3" max="3" width="16.6328125" bestFit="1" customWidth="1"/>
    <col min="4" max="4" width="11.81640625" bestFit="1" customWidth="1"/>
    <col min="5" max="5" width="9.7265625" customWidth="1"/>
    <col min="6" max="6" width="14.6328125" bestFit="1" customWidth="1"/>
    <col min="8" max="8" width="11.81640625" bestFit="1" customWidth="1"/>
    <col min="11" max="11" width="11.36328125" bestFit="1" customWidth="1"/>
    <col min="13" max="13" width="11.81640625" bestFit="1" customWidth="1"/>
    <col min="14" max="14" width="14.453125" bestFit="1" customWidth="1"/>
  </cols>
  <sheetData>
    <row r="2" spans="2:13" x14ac:dyDescent="0.35">
      <c r="B2" s="2" t="s">
        <v>0</v>
      </c>
      <c r="C2" s="4" t="s">
        <v>3</v>
      </c>
    </row>
    <row r="3" spans="2:13" x14ac:dyDescent="0.35">
      <c r="B3" s="3" t="s">
        <v>1</v>
      </c>
      <c r="C3" s="3" t="s">
        <v>2</v>
      </c>
      <c r="D3" s="3" t="s">
        <v>5</v>
      </c>
      <c r="E3" s="3" t="s">
        <v>4</v>
      </c>
      <c r="F3" s="3" t="s">
        <v>6</v>
      </c>
      <c r="G3" s="3" t="s">
        <v>7</v>
      </c>
      <c r="H3" s="3" t="s">
        <v>8</v>
      </c>
      <c r="I3" s="3" t="s">
        <v>15</v>
      </c>
      <c r="J3" s="17" t="s">
        <v>24</v>
      </c>
      <c r="K3" s="17" t="s">
        <v>25</v>
      </c>
      <c r="L3" s="17" t="s">
        <v>28</v>
      </c>
      <c r="M3" s="17" t="s">
        <v>26</v>
      </c>
    </row>
    <row r="4" spans="2:13" x14ac:dyDescent="0.35">
      <c r="B4" s="6">
        <v>1836</v>
      </c>
      <c r="C4" s="7">
        <v>7.8</v>
      </c>
      <c r="D4" s="8">
        <f>B4*C4</f>
        <v>14320.8</v>
      </c>
      <c r="E4" s="6">
        <f>B4^2</f>
        <v>3370896</v>
      </c>
      <c r="F4" s="8">
        <f>E4*C4</f>
        <v>26292988.800000001</v>
      </c>
      <c r="G4" s="6">
        <f>B4^3</f>
        <v>6188965056</v>
      </c>
      <c r="H4" s="6">
        <f>B4^4</f>
        <v>11362939842816</v>
      </c>
      <c r="I4" s="6">
        <f>$G$43+$G$44*B4+$G$45*E4</f>
        <v>16.391953834048763</v>
      </c>
      <c r="J4" s="5">
        <f>C4-I4</f>
        <v>-8.5919538340487627</v>
      </c>
      <c r="K4" s="5">
        <f>J4^2</f>
        <v>73.821670686425236</v>
      </c>
      <c r="L4" s="5">
        <f>C4-$C$24</f>
        <v>-31.465756611111114</v>
      </c>
      <c r="M4" s="5">
        <f>L4^2</f>
        <v>990.09383910968279</v>
      </c>
    </row>
    <row r="5" spans="2:13" x14ac:dyDescent="0.35">
      <c r="B5" s="6">
        <v>1846</v>
      </c>
      <c r="C5" s="7">
        <v>7.5</v>
      </c>
      <c r="D5" s="8">
        <f t="shared" ref="D5:D21" si="0">B5*C5</f>
        <v>13845</v>
      </c>
      <c r="E5" s="6">
        <f t="shared" ref="E5:E21" si="1">B5^2</f>
        <v>3407716</v>
      </c>
      <c r="F5" s="8">
        <f t="shared" ref="F5:F21" si="2">E5*C5</f>
        <v>25557870</v>
      </c>
      <c r="G5" s="6">
        <f t="shared" ref="G5:G21" si="3">B5^3</f>
        <v>6290643736</v>
      </c>
      <c r="H5" s="6">
        <f t="shared" ref="H5:H21" si="4">B5^4</f>
        <v>11612528336656</v>
      </c>
      <c r="I5" s="6">
        <f t="shared" ref="I5:I21" si="5">$G$43+$G$44*B5+$G$45*E5</f>
        <v>11.272120381941932</v>
      </c>
      <c r="J5" s="5">
        <f t="shared" ref="J5:J21" si="6">C5-I5</f>
        <v>-3.7721203819419316</v>
      </c>
      <c r="K5" s="5">
        <f t="shared" ref="K5:K21" si="7">J5^2</f>
        <v>14.228892175861743</v>
      </c>
      <c r="L5" s="5">
        <f t="shared" ref="L5:L21" si="8">C5-$C$24</f>
        <v>-31.765756611111115</v>
      </c>
      <c r="M5" s="5">
        <f t="shared" ref="M5:M21" si="9">L5^2</f>
        <v>1009.0632930763495</v>
      </c>
    </row>
    <row r="6" spans="2:13" x14ac:dyDescent="0.35">
      <c r="B6" s="6">
        <v>1858</v>
      </c>
      <c r="C6" s="7">
        <v>8.3000000000000007</v>
      </c>
      <c r="D6" s="8">
        <f t="shared" si="0"/>
        <v>15421.400000000001</v>
      </c>
      <c r="E6" s="6">
        <f t="shared" si="1"/>
        <v>3452164</v>
      </c>
      <c r="F6" s="8">
        <f t="shared" si="2"/>
        <v>28652961.200000003</v>
      </c>
      <c r="G6" s="6">
        <f t="shared" si="3"/>
        <v>6414120712</v>
      </c>
      <c r="H6" s="6">
        <f t="shared" si="4"/>
        <v>11917436282896</v>
      </c>
      <c r="I6" s="6">
        <f t="shared" si="5"/>
        <v>6.8078473135901731</v>
      </c>
      <c r="J6" s="5">
        <f t="shared" si="6"/>
        <v>1.4921526864098276</v>
      </c>
      <c r="K6" s="5">
        <f t="shared" si="7"/>
        <v>2.226519639560065</v>
      </c>
      <c r="L6" s="5">
        <f t="shared" si="8"/>
        <v>-30.965756611111114</v>
      </c>
      <c r="M6" s="5">
        <f t="shared" si="9"/>
        <v>958.87808249857164</v>
      </c>
    </row>
    <row r="7" spans="2:13" x14ac:dyDescent="0.35">
      <c r="B7" s="6">
        <v>1862</v>
      </c>
      <c r="C7" s="7">
        <v>8.4</v>
      </c>
      <c r="D7" s="8">
        <f t="shared" si="0"/>
        <v>15640.800000000001</v>
      </c>
      <c r="E7" s="6">
        <f t="shared" si="1"/>
        <v>3467044</v>
      </c>
      <c r="F7" s="8">
        <f t="shared" si="2"/>
        <v>29123169.600000001</v>
      </c>
      <c r="G7" s="6">
        <f t="shared" si="3"/>
        <v>6455635928</v>
      </c>
      <c r="H7" s="6">
        <f t="shared" si="4"/>
        <v>12020394097936</v>
      </c>
      <c r="I7" s="6">
        <f t="shared" si="5"/>
        <v>5.7269143693956721</v>
      </c>
      <c r="J7" s="5">
        <f t="shared" si="6"/>
        <v>2.6730856306043282</v>
      </c>
      <c r="K7" s="5">
        <f t="shared" si="7"/>
        <v>7.1453867885433393</v>
      </c>
      <c r="L7" s="5">
        <f t="shared" si="8"/>
        <v>-30.865756611111117</v>
      </c>
      <c r="M7" s="5">
        <f t="shared" si="9"/>
        <v>952.69493117634966</v>
      </c>
    </row>
    <row r="8" spans="2:13" x14ac:dyDescent="0.35">
      <c r="B8" s="6">
        <v>1872</v>
      </c>
      <c r="C8" s="7">
        <v>9</v>
      </c>
      <c r="D8" s="8">
        <f t="shared" si="0"/>
        <v>16848</v>
      </c>
      <c r="E8" s="6">
        <f t="shared" si="1"/>
        <v>3504384</v>
      </c>
      <c r="F8" s="8">
        <f t="shared" si="2"/>
        <v>31539456</v>
      </c>
      <c r="G8" s="6">
        <f t="shared" si="3"/>
        <v>6560206848</v>
      </c>
      <c r="H8" s="6">
        <f t="shared" si="4"/>
        <v>12280707219456</v>
      </c>
      <c r="I8" s="6">
        <f t="shared" si="5"/>
        <v>3.9152403058214986</v>
      </c>
      <c r="J8" s="5">
        <f t="shared" si="6"/>
        <v>5.0847596941785014</v>
      </c>
      <c r="K8" s="5">
        <f t="shared" si="7"/>
        <v>25.854781147542248</v>
      </c>
      <c r="L8" s="5">
        <f t="shared" si="8"/>
        <v>-30.265756611111115</v>
      </c>
      <c r="M8" s="5">
        <f t="shared" si="9"/>
        <v>916.01602324301621</v>
      </c>
    </row>
    <row r="9" spans="2:13" x14ac:dyDescent="0.35">
      <c r="B9" s="6">
        <v>1876</v>
      </c>
      <c r="C9" s="7">
        <v>9.5</v>
      </c>
      <c r="D9" s="8">
        <f t="shared" si="0"/>
        <v>17822</v>
      </c>
      <c r="E9" s="6">
        <f t="shared" si="1"/>
        <v>3519376</v>
      </c>
      <c r="F9" s="8">
        <f t="shared" si="2"/>
        <v>33434072</v>
      </c>
      <c r="G9" s="6">
        <f t="shared" si="3"/>
        <v>6602349376</v>
      </c>
      <c r="H9" s="6">
        <f t="shared" si="4"/>
        <v>12386007429376</v>
      </c>
      <c r="I9" s="6">
        <f t="shared" si="5"/>
        <v>3.5468339991566609</v>
      </c>
      <c r="J9" s="5">
        <f t="shared" si="6"/>
        <v>5.9531660008433391</v>
      </c>
      <c r="K9" s="5">
        <f t="shared" si="7"/>
        <v>35.440185433597073</v>
      </c>
      <c r="L9" s="5">
        <f t="shared" si="8"/>
        <v>-29.765756611111115</v>
      </c>
      <c r="M9" s="5">
        <f t="shared" si="9"/>
        <v>886.00026663190511</v>
      </c>
    </row>
    <row r="10" spans="2:13" x14ac:dyDescent="0.35">
      <c r="B10" s="6">
        <v>1900</v>
      </c>
      <c r="C10" s="7">
        <v>13.6</v>
      </c>
      <c r="D10" s="8">
        <f t="shared" si="0"/>
        <v>25840</v>
      </c>
      <c r="E10" s="6">
        <f t="shared" si="1"/>
        <v>3610000</v>
      </c>
      <c r="F10" s="8">
        <f t="shared" si="2"/>
        <v>49096000</v>
      </c>
      <c r="G10" s="6">
        <f t="shared" si="3"/>
        <v>6859000000</v>
      </c>
      <c r="H10" s="6">
        <f t="shared" si="4"/>
        <v>13032100000000</v>
      </c>
      <c r="I10" s="6">
        <f t="shared" si="5"/>
        <v>5.611555984345614</v>
      </c>
      <c r="J10" s="5">
        <f t="shared" si="6"/>
        <v>7.9884440156543857</v>
      </c>
      <c r="K10" s="5">
        <f t="shared" si="7"/>
        <v>63.815237791244364</v>
      </c>
      <c r="L10" s="5">
        <f t="shared" si="8"/>
        <v>-25.665756611111114</v>
      </c>
      <c r="M10" s="5">
        <f t="shared" si="9"/>
        <v>658.73106242079382</v>
      </c>
    </row>
    <row r="11" spans="2:13" x14ac:dyDescent="0.35">
      <c r="B11" s="6">
        <v>1910</v>
      </c>
      <c r="C11" s="7">
        <v>15.2</v>
      </c>
      <c r="D11" s="8">
        <f t="shared" si="0"/>
        <v>29032</v>
      </c>
      <c r="E11" s="6">
        <f t="shared" si="1"/>
        <v>3648100</v>
      </c>
      <c r="F11" s="8">
        <f t="shared" si="2"/>
        <v>55451120</v>
      </c>
      <c r="G11" s="6">
        <f t="shared" si="3"/>
        <v>6967871000</v>
      </c>
      <c r="H11" s="6">
        <f t="shared" si="4"/>
        <v>13308633610000</v>
      </c>
      <c r="I11" s="6">
        <f t="shared" si="5"/>
        <v>8.634884104008961</v>
      </c>
      <c r="J11" s="5">
        <f t="shared" si="6"/>
        <v>6.5651158959910383</v>
      </c>
      <c r="K11" s="5">
        <f t="shared" si="7"/>
        <v>43.100746727794217</v>
      </c>
      <c r="L11" s="5">
        <f t="shared" si="8"/>
        <v>-24.065756611111116</v>
      </c>
      <c r="M11" s="5">
        <f t="shared" si="9"/>
        <v>579.16064126523838</v>
      </c>
    </row>
    <row r="12" spans="2:13" x14ac:dyDescent="0.35">
      <c r="B12" s="6">
        <v>1929</v>
      </c>
      <c r="C12" s="7">
        <v>15.6</v>
      </c>
      <c r="D12" s="8">
        <f t="shared" si="0"/>
        <v>30092.399999999998</v>
      </c>
      <c r="E12" s="6">
        <f t="shared" si="1"/>
        <v>3721041</v>
      </c>
      <c r="F12" s="8">
        <f t="shared" si="2"/>
        <v>58048239.600000001</v>
      </c>
      <c r="G12" s="6">
        <f t="shared" si="3"/>
        <v>7177888089</v>
      </c>
      <c r="H12" s="6">
        <f t="shared" si="4"/>
        <v>13846146123681</v>
      </c>
      <c r="I12" s="6">
        <f t="shared" si="5"/>
        <v>17.884584114217432</v>
      </c>
      <c r="J12" s="5">
        <f t="shared" si="6"/>
        <v>-2.2845841142174326</v>
      </c>
      <c r="K12" s="5">
        <f t="shared" si="7"/>
        <v>5.2193245749346513</v>
      </c>
      <c r="L12" s="5">
        <f t="shared" si="8"/>
        <v>-23.665756611111114</v>
      </c>
      <c r="M12" s="5">
        <f t="shared" si="9"/>
        <v>560.06803597634939</v>
      </c>
    </row>
    <row r="13" spans="2:13" x14ac:dyDescent="0.35">
      <c r="B13" s="6">
        <v>1940</v>
      </c>
      <c r="C13" s="7">
        <v>19.600000000000001</v>
      </c>
      <c r="D13" s="8">
        <f t="shared" si="0"/>
        <v>38024</v>
      </c>
      <c r="E13" s="6">
        <f t="shared" si="1"/>
        <v>3763600</v>
      </c>
      <c r="F13" s="8">
        <f t="shared" si="2"/>
        <v>73766560</v>
      </c>
      <c r="G13" s="6">
        <f t="shared" si="3"/>
        <v>7301384000</v>
      </c>
      <c r="H13" s="6">
        <f t="shared" si="4"/>
        <v>14164684960000</v>
      </c>
      <c r="I13" s="6">
        <f t="shared" si="5"/>
        <v>25.339082436534227</v>
      </c>
      <c r="J13" s="5">
        <f t="shared" si="6"/>
        <v>-5.7390824365342255</v>
      </c>
      <c r="K13" s="5">
        <f t="shared" si="7"/>
        <v>32.937067213335624</v>
      </c>
      <c r="L13" s="5">
        <f t="shared" si="8"/>
        <v>-19.665756611111114</v>
      </c>
      <c r="M13" s="5">
        <f t="shared" si="9"/>
        <v>386.74198308746048</v>
      </c>
    </row>
    <row r="14" spans="2:13" x14ac:dyDescent="0.35">
      <c r="B14" s="6">
        <v>1950</v>
      </c>
      <c r="C14" s="7">
        <v>25.8</v>
      </c>
      <c r="D14" s="8">
        <f t="shared" si="0"/>
        <v>50310</v>
      </c>
      <c r="E14" s="6">
        <f t="shared" si="1"/>
        <v>3802500</v>
      </c>
      <c r="F14" s="8">
        <f t="shared" si="2"/>
        <v>98104500</v>
      </c>
      <c r="G14" s="6">
        <f t="shared" si="3"/>
        <v>7414875000</v>
      </c>
      <c r="H14" s="6">
        <f t="shared" si="4"/>
        <v>14459006250000</v>
      </c>
      <c r="I14" s="6">
        <f t="shared" si="5"/>
        <v>33.45188653855439</v>
      </c>
      <c r="J14" s="5">
        <f t="shared" si="6"/>
        <v>-7.6518865385543897</v>
      </c>
      <c r="K14" s="5">
        <f t="shared" si="7"/>
        <v>58.551367598909877</v>
      </c>
      <c r="L14" s="5">
        <f t="shared" si="8"/>
        <v>-13.465756611111114</v>
      </c>
      <c r="M14" s="5">
        <f t="shared" si="9"/>
        <v>181.32660110968268</v>
      </c>
    </row>
    <row r="15" spans="2:13" x14ac:dyDescent="0.35">
      <c r="B15" s="6">
        <v>1960</v>
      </c>
      <c r="C15" s="7">
        <v>34.4</v>
      </c>
      <c r="D15" s="8">
        <f t="shared" si="0"/>
        <v>67424</v>
      </c>
      <c r="E15" s="6">
        <f t="shared" si="1"/>
        <v>3841600</v>
      </c>
      <c r="F15" s="8">
        <f t="shared" si="2"/>
        <v>132151040</v>
      </c>
      <c r="G15" s="6">
        <f t="shared" si="3"/>
        <v>7529536000</v>
      </c>
      <c r="H15" s="6">
        <f t="shared" si="4"/>
        <v>14757890560000</v>
      </c>
      <c r="I15" s="6">
        <f t="shared" si="5"/>
        <v>42.837059636163758</v>
      </c>
      <c r="J15" s="5">
        <f t="shared" si="6"/>
        <v>-8.4370596361637595</v>
      </c>
      <c r="K15" s="5">
        <f t="shared" si="7"/>
        <v>71.183975304183747</v>
      </c>
      <c r="L15" s="5">
        <f t="shared" si="8"/>
        <v>-4.8657566111111166</v>
      </c>
      <c r="M15" s="5">
        <f t="shared" si="9"/>
        <v>23.675587398571537</v>
      </c>
    </row>
    <row r="16" spans="2:13" x14ac:dyDescent="0.35">
      <c r="B16" s="6">
        <v>1970</v>
      </c>
      <c r="C16" s="7">
        <v>48.2</v>
      </c>
      <c r="D16" s="8">
        <f t="shared" si="0"/>
        <v>94954</v>
      </c>
      <c r="E16" s="6">
        <f t="shared" si="1"/>
        <v>3880900</v>
      </c>
      <c r="F16" s="8">
        <f t="shared" si="2"/>
        <v>187059380</v>
      </c>
      <c r="G16" s="6">
        <f t="shared" si="3"/>
        <v>7645373000</v>
      </c>
      <c r="H16" s="6">
        <f t="shared" si="4"/>
        <v>15061384810000</v>
      </c>
      <c r="I16" s="6">
        <f t="shared" si="5"/>
        <v>53.49460172936233</v>
      </c>
      <c r="J16" s="5">
        <f t="shared" si="6"/>
        <v>-5.2946017293623271</v>
      </c>
      <c r="K16" s="5">
        <f t="shared" si="7"/>
        <v>28.032807472566546</v>
      </c>
      <c r="L16" s="5">
        <f t="shared" si="8"/>
        <v>8.9342433888888877</v>
      </c>
      <c r="M16" s="5">
        <f t="shared" si="9"/>
        <v>79.8207049319048</v>
      </c>
    </row>
    <row r="17" spans="1:14" x14ac:dyDescent="0.35">
      <c r="B17" s="6">
        <v>1980</v>
      </c>
      <c r="C17" s="7">
        <v>66.8</v>
      </c>
      <c r="D17" s="8">
        <f t="shared" si="0"/>
        <v>132264</v>
      </c>
      <c r="E17" s="6">
        <f t="shared" si="1"/>
        <v>3920400</v>
      </c>
      <c r="F17" s="8">
        <f t="shared" si="2"/>
        <v>261882720</v>
      </c>
      <c r="G17" s="6">
        <f t="shared" si="3"/>
        <v>7762392000</v>
      </c>
      <c r="H17" s="6">
        <f t="shared" si="4"/>
        <v>15369536160000</v>
      </c>
      <c r="I17" s="6">
        <f t="shared" si="5"/>
        <v>65.424512818146468</v>
      </c>
      <c r="J17" s="5">
        <f t="shared" si="6"/>
        <v>1.3754871818535293</v>
      </c>
      <c r="K17" s="5">
        <f t="shared" si="7"/>
        <v>1.8919649874433639</v>
      </c>
      <c r="L17" s="5">
        <f t="shared" si="8"/>
        <v>27.534243388888882</v>
      </c>
      <c r="M17" s="5">
        <f t="shared" si="9"/>
        <v>758.13455899857115</v>
      </c>
    </row>
    <row r="18" spans="1:14" x14ac:dyDescent="0.35">
      <c r="B18" s="6">
        <v>1990</v>
      </c>
      <c r="C18" s="7">
        <v>81.249645000000001</v>
      </c>
      <c r="D18" s="8">
        <f t="shared" si="0"/>
        <v>161686.79355</v>
      </c>
      <c r="E18" s="6">
        <f t="shared" si="1"/>
        <v>3960100</v>
      </c>
      <c r="F18" s="8">
        <f t="shared" si="2"/>
        <v>321756719.1645</v>
      </c>
      <c r="G18" s="6">
        <f t="shared" si="3"/>
        <v>7880599000</v>
      </c>
      <c r="H18" s="6">
        <f t="shared" si="4"/>
        <v>15682392010000</v>
      </c>
      <c r="I18" s="6">
        <f t="shared" si="5"/>
        <v>78.626792902523448</v>
      </c>
      <c r="J18" s="5">
        <f t="shared" si="6"/>
        <v>2.622852097476553</v>
      </c>
      <c r="K18" s="5">
        <f t="shared" si="7"/>
        <v>6.8793531252371531</v>
      </c>
      <c r="L18" s="5">
        <f t="shared" si="8"/>
        <v>41.983888388888886</v>
      </c>
      <c r="M18" s="5">
        <f t="shared" si="9"/>
        <v>1762.646884250679</v>
      </c>
    </row>
    <row r="19" spans="1:14" x14ac:dyDescent="0.35">
      <c r="B19" s="6">
        <v>2000</v>
      </c>
      <c r="C19" s="7">
        <v>97.483412000000001</v>
      </c>
      <c r="D19" s="8">
        <f t="shared" si="0"/>
        <v>194966.82399999999</v>
      </c>
      <c r="E19" s="6">
        <f t="shared" si="1"/>
        <v>4000000</v>
      </c>
      <c r="F19" s="8">
        <f t="shared" si="2"/>
        <v>389933648</v>
      </c>
      <c r="G19" s="6">
        <f t="shared" si="3"/>
        <v>8000000000</v>
      </c>
      <c r="H19" s="6">
        <f t="shared" si="4"/>
        <v>16000000000000</v>
      </c>
      <c r="I19" s="6">
        <f t="shared" si="5"/>
        <v>93.101441982489632</v>
      </c>
      <c r="J19" s="5">
        <f t="shared" si="6"/>
        <v>4.3819700175103691</v>
      </c>
      <c r="K19" s="5">
        <f t="shared" si="7"/>
        <v>19.201661234359825</v>
      </c>
      <c r="L19" s="5">
        <f t="shared" si="8"/>
        <v>58.217655388888886</v>
      </c>
      <c r="M19" s="5">
        <f t="shared" si="9"/>
        <v>3389.2953989794232</v>
      </c>
    </row>
    <row r="20" spans="1:14" x14ac:dyDescent="0.35">
      <c r="B20" s="6">
        <v>2010</v>
      </c>
      <c r="C20" s="7">
        <v>112.336538</v>
      </c>
      <c r="D20" s="8">
        <f t="shared" si="0"/>
        <v>225796.44138</v>
      </c>
      <c r="E20" s="6">
        <f t="shared" si="1"/>
        <v>4040100</v>
      </c>
      <c r="F20" s="8">
        <f t="shared" si="2"/>
        <v>453850847.17379999</v>
      </c>
      <c r="G20" s="6">
        <f t="shared" si="3"/>
        <v>8120601000</v>
      </c>
      <c r="H20" s="6">
        <f t="shared" si="4"/>
        <v>16322408010000</v>
      </c>
      <c r="I20" s="6">
        <f t="shared" si="5"/>
        <v>108.84846005804502</v>
      </c>
      <c r="J20" s="5">
        <f t="shared" si="6"/>
        <v>3.4880779419549839</v>
      </c>
      <c r="K20" s="5">
        <f t="shared" si="7"/>
        <v>12.166687729152915</v>
      </c>
      <c r="L20" s="5">
        <f t="shared" si="8"/>
        <v>73.070781388888889</v>
      </c>
      <c r="M20" s="5">
        <f t="shared" si="9"/>
        <v>5339.3390927827904</v>
      </c>
    </row>
    <row r="21" spans="1:14" x14ac:dyDescent="0.35">
      <c r="B21" s="6">
        <v>2020</v>
      </c>
      <c r="C21" s="7">
        <v>126.01402400000001</v>
      </c>
      <c r="D21" s="8">
        <f t="shared" si="0"/>
        <v>254548.32848000003</v>
      </c>
      <c r="E21" s="6">
        <f t="shared" si="1"/>
        <v>4080400</v>
      </c>
      <c r="F21" s="8">
        <f t="shared" si="2"/>
        <v>514187623.52960002</v>
      </c>
      <c r="G21" s="6">
        <f t="shared" si="3"/>
        <v>8242408000</v>
      </c>
      <c r="H21" s="6">
        <f t="shared" si="4"/>
        <v>16649664160000</v>
      </c>
      <c r="I21" s="6">
        <f t="shared" si="5"/>
        <v>125.86784712918598</v>
      </c>
      <c r="J21" s="5">
        <f t="shared" si="6"/>
        <v>0.14617687081403119</v>
      </c>
      <c r="K21" s="5">
        <f t="shared" si="7"/>
        <v>2.1367677560981964E-2</v>
      </c>
      <c r="L21" s="5">
        <f t="shared" si="8"/>
        <v>86.748267388888891</v>
      </c>
      <c r="M21" s="5">
        <f t="shared" si="9"/>
        <v>7525.2618949741636</v>
      </c>
    </row>
    <row r="23" spans="1:14" x14ac:dyDescent="0.35">
      <c r="A23" s="9" t="s">
        <v>9</v>
      </c>
      <c r="B23" s="6">
        <f>SUM(B4:B21)</f>
        <v>34709</v>
      </c>
      <c r="C23" s="6">
        <f t="shared" ref="C23:H23" si="10">SUM(C4:C21)</f>
        <v>706.78361900000004</v>
      </c>
      <c r="D23" s="6">
        <f t="shared" si="10"/>
        <v>1398836.7874099999</v>
      </c>
      <c r="E23" s="6">
        <f t="shared" si="10"/>
        <v>66990321</v>
      </c>
      <c r="F23" s="6">
        <f t="shared" si="10"/>
        <v>2769888915.0679002</v>
      </c>
      <c r="G23" s="6">
        <f t="shared" si="10"/>
        <v>129413848745</v>
      </c>
      <c r="H23" s="6">
        <f t="shared" si="10"/>
        <v>250233859862817</v>
      </c>
      <c r="K23" s="6">
        <f t="shared" ref="K23:M23" si="11">SUM(K4:K21)</f>
        <v>501.71899730825305</v>
      </c>
      <c r="M23" s="6">
        <f t="shared" si="11"/>
        <v>26956.948881911499</v>
      </c>
    </row>
    <row r="24" spans="1:14" x14ac:dyDescent="0.35">
      <c r="A24" s="18" t="s">
        <v>27</v>
      </c>
      <c r="B24" s="19"/>
      <c r="C24" s="23">
        <f>AVERAGE(C4:C21)</f>
        <v>39.265756611111115</v>
      </c>
      <c r="D24" s="19"/>
      <c r="E24" s="19"/>
      <c r="F24" s="19"/>
      <c r="G24" s="19"/>
      <c r="H24" s="19"/>
      <c r="K24" s="19"/>
    </row>
    <row r="25" spans="1:14" x14ac:dyDescent="0.35">
      <c r="A25" s="18"/>
      <c r="B25" s="19"/>
      <c r="C25" s="19"/>
      <c r="D25" s="19"/>
      <c r="E25" s="19"/>
      <c r="F25" s="19"/>
      <c r="G25" s="19"/>
      <c r="H25" s="19"/>
      <c r="K25" s="19"/>
    </row>
    <row r="26" spans="1:14" x14ac:dyDescent="0.35">
      <c r="A26" s="18"/>
      <c r="B26" s="19"/>
      <c r="C26" s="19"/>
      <c r="D26" s="19"/>
      <c r="E26" s="19"/>
      <c r="F26" s="19"/>
      <c r="G26" s="19"/>
      <c r="H26" s="19"/>
    </row>
    <row r="27" spans="1:14" x14ac:dyDescent="0.35">
      <c r="A27" s="18"/>
      <c r="B27" t="s">
        <v>16</v>
      </c>
      <c r="C27" t="s">
        <v>17</v>
      </c>
      <c r="D27" t="s">
        <v>18</v>
      </c>
      <c r="E27" s="19"/>
      <c r="F27" s="21" t="s">
        <v>11</v>
      </c>
      <c r="G27" s="19"/>
      <c r="H27" s="21" t="s">
        <v>21</v>
      </c>
    </row>
    <row r="28" spans="1:14" x14ac:dyDescent="0.35">
      <c r="A28" s="18"/>
      <c r="B28" t="s">
        <v>17</v>
      </c>
      <c r="C28" t="s">
        <v>18</v>
      </c>
      <c r="D28" t="s">
        <v>19</v>
      </c>
      <c r="E28" s="20" t="s">
        <v>10</v>
      </c>
      <c r="F28" s="19" t="s">
        <v>12</v>
      </c>
      <c r="G28" s="20" t="s">
        <v>14</v>
      </c>
      <c r="H28" s="21" t="s">
        <v>22</v>
      </c>
      <c r="J28" s="22" t="s">
        <v>29</v>
      </c>
      <c r="K28" s="25">
        <f>1-K23/M23</f>
        <v>0.98138813856471296</v>
      </c>
      <c r="M28" s="22" t="s">
        <v>31</v>
      </c>
      <c r="N28" s="25">
        <f>1-((K23/(18-3))/(M23/(18-1)))</f>
        <v>0.97890655704000795</v>
      </c>
    </row>
    <row r="29" spans="1:14" x14ac:dyDescent="0.35">
      <c r="A29" s="18"/>
      <c r="B29" t="s">
        <v>18</v>
      </c>
      <c r="C29" t="s">
        <v>19</v>
      </c>
      <c r="D29" t="s">
        <v>20</v>
      </c>
      <c r="E29" s="19"/>
      <c r="F29" s="21" t="s">
        <v>13</v>
      </c>
      <c r="G29" s="19"/>
      <c r="H29" s="21" t="s">
        <v>23</v>
      </c>
    </row>
    <row r="30" spans="1:14" x14ac:dyDescent="0.35">
      <c r="A30" s="18"/>
      <c r="B30" s="19"/>
      <c r="C30" s="19"/>
      <c r="D30" s="19"/>
      <c r="E30" s="19"/>
      <c r="F30" s="19"/>
      <c r="G30" s="19"/>
      <c r="H30" s="19"/>
    </row>
    <row r="31" spans="1:14" x14ac:dyDescent="0.35">
      <c r="C31" s="1"/>
    </row>
    <row r="32" spans="1:14" x14ac:dyDescent="0.35">
      <c r="B32" s="11"/>
      <c r="D32" s="11"/>
    </row>
    <row r="33" spans="1:14" x14ac:dyDescent="0.35">
      <c r="A33" s="10"/>
      <c r="B33">
        <f>COUNTA(B4:B21)</f>
        <v>18</v>
      </c>
      <c r="C33">
        <f>B23</f>
        <v>34709</v>
      </c>
      <c r="D33">
        <f>E23</f>
        <v>66990321</v>
      </c>
      <c r="E33" s="13"/>
      <c r="F33" s="13" t="s">
        <v>11</v>
      </c>
      <c r="H33" s="13">
        <f>C23</f>
        <v>706.78361900000004</v>
      </c>
    </row>
    <row r="34" spans="1:14" x14ac:dyDescent="0.35">
      <c r="A34" s="10"/>
      <c r="B34">
        <f>B23</f>
        <v>34709</v>
      </c>
      <c r="C34">
        <f>E23</f>
        <v>66990321</v>
      </c>
      <c r="D34">
        <f>G23</f>
        <v>129413848745</v>
      </c>
      <c r="E34" s="14" t="s">
        <v>10</v>
      </c>
      <c r="F34" s="13" t="s">
        <v>12</v>
      </c>
      <c r="G34" s="15" t="s">
        <v>14</v>
      </c>
      <c r="H34" s="13">
        <f>D23</f>
        <v>1398836.7874099999</v>
      </c>
    </row>
    <row r="35" spans="1:14" x14ac:dyDescent="0.35">
      <c r="A35" s="10"/>
      <c r="B35">
        <f>E23</f>
        <v>66990321</v>
      </c>
      <c r="C35">
        <f>G23</f>
        <v>129413848745</v>
      </c>
      <c r="D35">
        <f>H23</f>
        <v>250233859862817</v>
      </c>
      <c r="E35" s="13"/>
      <c r="F35" s="13" t="s">
        <v>13</v>
      </c>
      <c r="H35" s="13">
        <f>F23</f>
        <v>2769888915.0679002</v>
      </c>
      <c r="M35" s="22" t="s">
        <v>40</v>
      </c>
      <c r="N35">
        <f>G43+G44*2021+G45*2021^2</f>
        <v>127.63976613105842</v>
      </c>
    </row>
    <row r="36" spans="1:14" x14ac:dyDescent="0.35">
      <c r="B36" s="12"/>
      <c r="D36" s="12"/>
    </row>
    <row r="37" spans="1:14" x14ac:dyDescent="0.35">
      <c r="M37" s="22" t="s">
        <v>42</v>
      </c>
      <c r="N37" s="28">
        <f>(N35-131.467757)/131.467757</f>
        <v>-2.91173361156651E-2</v>
      </c>
    </row>
    <row r="38" spans="1:14" x14ac:dyDescent="0.35">
      <c r="F38" s="13" t="s">
        <v>11</v>
      </c>
      <c r="H38" cm="1">
        <f t="array" ref="H38:H40">MMULT(MINVERSE(B33:D35),H33:H35)</f>
        <v>22518.314638212323</v>
      </c>
    </row>
    <row r="39" spans="1:14" x14ac:dyDescent="0.35">
      <c r="F39" s="13" t="s">
        <v>12</v>
      </c>
      <c r="G39" s="15" t="s">
        <v>14</v>
      </c>
      <c r="H39">
        <v>-23.936296554005821</v>
      </c>
    </row>
    <row r="40" spans="1:14" x14ac:dyDescent="0.35">
      <c r="F40" s="13" t="s">
        <v>13</v>
      </c>
      <c r="H40">
        <v>6.3618449779454522E-3</v>
      </c>
    </row>
    <row r="43" spans="1:14" x14ac:dyDescent="0.35">
      <c r="F43" s="22" t="s">
        <v>11</v>
      </c>
      <c r="G43" s="6">
        <v>22518.314638212323</v>
      </c>
    </row>
    <row r="44" spans="1:14" x14ac:dyDescent="0.35">
      <c r="F44" s="22" t="s">
        <v>12</v>
      </c>
      <c r="G44" s="6">
        <v>-23.936296554005821</v>
      </c>
    </row>
    <row r="45" spans="1:14" x14ac:dyDescent="0.35">
      <c r="F45" s="22" t="s">
        <v>13</v>
      </c>
      <c r="G45" s="6">
        <v>6.3618449779454522E-3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5B38-0715-429E-8692-34370909D46A}">
  <dimension ref="A2:Q50"/>
  <sheetViews>
    <sheetView zoomScale="70" zoomScaleNormal="70" workbookViewId="0">
      <selection activeCell="M34" sqref="M34"/>
    </sheetView>
  </sheetViews>
  <sheetFormatPr defaultRowHeight="14.5" x14ac:dyDescent="0.35"/>
  <cols>
    <col min="1" max="1" width="10.1796875" bestFit="1" customWidth="1"/>
    <col min="2" max="2" width="11.81640625" bestFit="1" customWidth="1"/>
    <col min="3" max="3" width="16.6328125" bestFit="1" customWidth="1"/>
    <col min="4" max="9" width="11.81640625" bestFit="1" customWidth="1"/>
    <col min="10" max="10" width="14.6328125" bestFit="1" customWidth="1"/>
    <col min="11" max="11" width="19.6328125" bestFit="1" customWidth="1"/>
    <col min="12" max="12" width="10.36328125" bestFit="1" customWidth="1"/>
    <col min="13" max="13" width="11.1796875" bestFit="1" customWidth="1"/>
    <col min="16" max="16" width="11.81640625" bestFit="1" customWidth="1"/>
    <col min="25" max="25" width="35.54296875" bestFit="1" customWidth="1"/>
    <col min="26" max="26" width="11.81640625" bestFit="1" customWidth="1"/>
    <col min="28" max="28" width="12.453125" bestFit="1" customWidth="1"/>
  </cols>
  <sheetData>
    <row r="2" spans="2:16" x14ac:dyDescent="0.35">
      <c r="B2" s="2" t="s">
        <v>0</v>
      </c>
      <c r="C2" s="4" t="s">
        <v>3</v>
      </c>
    </row>
    <row r="3" spans="2:16" x14ac:dyDescent="0.35">
      <c r="B3" s="3" t="s">
        <v>1</v>
      </c>
      <c r="C3" s="3" t="s">
        <v>2</v>
      </c>
      <c r="D3" s="3" t="s">
        <v>4</v>
      </c>
      <c r="E3" s="3" t="s">
        <v>7</v>
      </c>
      <c r="F3" s="3" t="s">
        <v>8</v>
      </c>
      <c r="G3" s="3" t="s">
        <v>37</v>
      </c>
      <c r="H3" s="3" t="s">
        <v>38</v>
      </c>
      <c r="I3" s="3" t="s">
        <v>5</v>
      </c>
      <c r="J3" s="3" t="s">
        <v>6</v>
      </c>
      <c r="K3" s="3" t="s">
        <v>39</v>
      </c>
      <c r="L3" s="3" t="s">
        <v>15</v>
      </c>
      <c r="M3" s="3" t="s">
        <v>24</v>
      </c>
      <c r="N3" s="3" t="s">
        <v>25</v>
      </c>
      <c r="O3" s="3" t="s">
        <v>28</v>
      </c>
      <c r="P3" s="3" t="s">
        <v>26</v>
      </c>
    </row>
    <row r="4" spans="2:16" x14ac:dyDescent="0.35">
      <c r="B4" s="6">
        <v>1836</v>
      </c>
      <c r="C4" s="7">
        <v>7.8</v>
      </c>
      <c r="D4" s="6">
        <f>B4^2</f>
        <v>3370896</v>
      </c>
      <c r="E4" s="6">
        <f>B4^3</f>
        <v>6188965056</v>
      </c>
      <c r="F4" s="6">
        <f>B4^4</f>
        <v>11362939842816</v>
      </c>
      <c r="G4" s="6">
        <f>B4^5</f>
        <v>2.0862357551410176E+16</v>
      </c>
      <c r="H4" s="6">
        <f>B4^6</f>
        <v>3.8303288464389079E+19</v>
      </c>
      <c r="I4" s="8">
        <f>B4*C4</f>
        <v>14320.8</v>
      </c>
      <c r="J4" s="8">
        <f>B4^2*C4</f>
        <v>26292988.800000001</v>
      </c>
      <c r="K4" s="8">
        <f>B4^3*C4</f>
        <v>48273927436.799995</v>
      </c>
      <c r="L4" s="6">
        <f>$H$47+$H$48*B4+$H$49*D4+$H$50*E4</f>
        <v>8.7451638380298391</v>
      </c>
      <c r="M4" s="8">
        <f>C4-L4</f>
        <v>-0.94516383802983928</v>
      </c>
      <c r="N4" s="8">
        <f>M4^2</f>
        <v>0.89333468071929623</v>
      </c>
      <c r="O4" s="8">
        <f>C4-$C$24</f>
        <v>-31.465756611111114</v>
      </c>
      <c r="P4" s="8">
        <f>O4^2</f>
        <v>990.09383910968279</v>
      </c>
    </row>
    <row r="5" spans="2:16" x14ac:dyDescent="0.35">
      <c r="B5" s="6">
        <v>1846</v>
      </c>
      <c r="C5" s="7">
        <v>7.5</v>
      </c>
      <c r="D5" s="6">
        <f t="shared" ref="D5:D21" si="0">B5^2</f>
        <v>3407716</v>
      </c>
      <c r="E5" s="6">
        <f t="shared" ref="E5:E21" si="1">B5^3</f>
        <v>6290643736</v>
      </c>
      <c r="F5" s="6">
        <f t="shared" ref="F5:F21" si="2">B5^4</f>
        <v>11612528336656</v>
      </c>
      <c r="G5" s="6">
        <f t="shared" ref="G5:G21" si="3">B5^5</f>
        <v>2.1436727309466976E+16</v>
      </c>
      <c r="H5" s="6">
        <f t="shared" ref="H5:H21" si="4">B5^6</f>
        <v>3.9572198613276041E+19</v>
      </c>
      <c r="I5" s="8">
        <f t="shared" ref="I5:I21" si="5">B5*C5</f>
        <v>13845</v>
      </c>
      <c r="J5" s="8">
        <f t="shared" ref="J5:J21" si="6">B5^2*C5</f>
        <v>25557870</v>
      </c>
      <c r="K5" s="8">
        <f t="shared" ref="K5:K21" si="7">B5^3*C5</f>
        <v>47179828020</v>
      </c>
      <c r="L5" s="6">
        <f t="shared" ref="L5:L21" si="8">$H$47+$H$48*B5+$H$49*D5+$H$50*E5</f>
        <v>8.6195543607755098</v>
      </c>
      <c r="M5" s="8">
        <f t="shared" ref="M5:M21" si="9">C5-L5</f>
        <v>-1.1195543607755098</v>
      </c>
      <c r="N5" s="8">
        <f t="shared" ref="N5:N21" si="10">M5^2</f>
        <v>1.2534019667314604</v>
      </c>
      <c r="O5" s="8">
        <f t="shared" ref="O5:O21" si="11">C5-$C$24</f>
        <v>-31.765756611111115</v>
      </c>
      <c r="P5" s="8">
        <f t="shared" ref="P5:P21" si="12">O5^2</f>
        <v>1009.0632930763495</v>
      </c>
    </row>
    <row r="6" spans="2:16" x14ac:dyDescent="0.35">
      <c r="B6" s="6">
        <v>1858</v>
      </c>
      <c r="C6" s="7">
        <v>8.3000000000000007</v>
      </c>
      <c r="D6" s="6">
        <f t="shared" si="0"/>
        <v>3452164</v>
      </c>
      <c r="E6" s="6">
        <f t="shared" si="1"/>
        <v>6414120712</v>
      </c>
      <c r="F6" s="6">
        <f t="shared" si="2"/>
        <v>11917436282896</v>
      </c>
      <c r="G6" s="6">
        <f t="shared" si="3"/>
        <v>2.2142596613620768E+16</v>
      </c>
      <c r="H6" s="6">
        <f t="shared" si="4"/>
        <v>4.1140944508107391E+19</v>
      </c>
      <c r="I6" s="8">
        <f t="shared" si="5"/>
        <v>15421.400000000001</v>
      </c>
      <c r="J6" s="8">
        <f t="shared" si="6"/>
        <v>28652961.200000003</v>
      </c>
      <c r="K6" s="8">
        <f t="shared" si="7"/>
        <v>53237201909.600006</v>
      </c>
      <c r="L6" s="6">
        <f t="shared" si="8"/>
        <v>8.3100276783225127</v>
      </c>
      <c r="M6" s="8">
        <f t="shared" si="9"/>
        <v>-1.0027678322511946E-2</v>
      </c>
      <c r="N6" s="8">
        <f t="shared" si="10"/>
        <v>1.0055433253977599E-4</v>
      </c>
      <c r="O6" s="8">
        <f t="shared" si="11"/>
        <v>-30.965756611111114</v>
      </c>
      <c r="P6" s="8">
        <f t="shared" si="12"/>
        <v>958.87808249857164</v>
      </c>
    </row>
    <row r="7" spans="2:16" x14ac:dyDescent="0.35">
      <c r="B7" s="6">
        <v>1862</v>
      </c>
      <c r="C7" s="7">
        <v>8.4</v>
      </c>
      <c r="D7" s="6">
        <f t="shared" si="0"/>
        <v>3467044</v>
      </c>
      <c r="E7" s="6">
        <f t="shared" si="1"/>
        <v>6455635928</v>
      </c>
      <c r="F7" s="6">
        <f t="shared" si="2"/>
        <v>12020394097936</v>
      </c>
      <c r="G7" s="6">
        <f t="shared" si="3"/>
        <v>2.2381973810356832E+16</v>
      </c>
      <c r="H7" s="6">
        <f t="shared" si="4"/>
        <v>4.167523523488442E+19</v>
      </c>
      <c r="I7" s="8">
        <f t="shared" si="5"/>
        <v>15640.800000000001</v>
      </c>
      <c r="J7" s="8">
        <f t="shared" si="6"/>
        <v>29123169.600000001</v>
      </c>
      <c r="K7" s="8">
        <f t="shared" si="7"/>
        <v>54227341795.200005</v>
      </c>
      <c r="L7" s="6">
        <f t="shared" si="8"/>
        <v>8.2150709948327858</v>
      </c>
      <c r="M7" s="8">
        <f t="shared" si="9"/>
        <v>0.18492900516721456</v>
      </c>
      <c r="N7" s="8">
        <f t="shared" si="10"/>
        <v>3.4198736952135669E-2</v>
      </c>
      <c r="O7" s="8">
        <f t="shared" si="11"/>
        <v>-30.865756611111117</v>
      </c>
      <c r="P7" s="8">
        <f t="shared" si="12"/>
        <v>952.69493117634966</v>
      </c>
    </row>
    <row r="8" spans="2:16" x14ac:dyDescent="0.35">
      <c r="B8" s="6">
        <v>1872</v>
      </c>
      <c r="C8" s="7">
        <v>9</v>
      </c>
      <c r="D8" s="6">
        <f t="shared" si="0"/>
        <v>3504384</v>
      </c>
      <c r="E8" s="6">
        <f t="shared" si="1"/>
        <v>6560206848</v>
      </c>
      <c r="F8" s="6">
        <f t="shared" si="2"/>
        <v>12280707219456</v>
      </c>
      <c r="G8" s="6">
        <f t="shared" si="3"/>
        <v>2.2989483914821632E+16</v>
      </c>
      <c r="H8" s="6">
        <f t="shared" si="4"/>
        <v>4.3036313888546095E+19</v>
      </c>
      <c r="I8" s="8">
        <f t="shared" si="5"/>
        <v>16848</v>
      </c>
      <c r="J8" s="8">
        <f t="shared" si="6"/>
        <v>31539456</v>
      </c>
      <c r="K8" s="8">
        <f t="shared" si="7"/>
        <v>59041861632</v>
      </c>
      <c r="L8" s="6">
        <f t="shared" si="8"/>
        <v>8.097846508375369</v>
      </c>
      <c r="M8" s="8">
        <f t="shared" si="9"/>
        <v>0.90215349162463099</v>
      </c>
      <c r="N8" s="8">
        <f t="shared" si="10"/>
        <v>0.81388092245051313</v>
      </c>
      <c r="O8" s="8">
        <f t="shared" si="11"/>
        <v>-30.265756611111115</v>
      </c>
      <c r="P8" s="8">
        <f t="shared" si="12"/>
        <v>916.01602324301621</v>
      </c>
    </row>
    <row r="9" spans="2:16" x14ac:dyDescent="0.35">
      <c r="B9" s="6">
        <v>1876</v>
      </c>
      <c r="C9" s="7">
        <v>9.5</v>
      </c>
      <c r="D9" s="6">
        <f t="shared" si="0"/>
        <v>3519376</v>
      </c>
      <c r="E9" s="6">
        <f t="shared" si="1"/>
        <v>6602349376</v>
      </c>
      <c r="F9" s="6">
        <f t="shared" si="2"/>
        <v>12386007429376</v>
      </c>
      <c r="G9" s="6">
        <f t="shared" si="3"/>
        <v>2.3236149937509376E+16</v>
      </c>
      <c r="H9" s="6">
        <f t="shared" si="4"/>
        <v>4.3591017282767585E+19</v>
      </c>
      <c r="I9" s="8">
        <f t="shared" si="5"/>
        <v>17822</v>
      </c>
      <c r="J9" s="8">
        <f t="shared" si="6"/>
        <v>33434072</v>
      </c>
      <c r="K9" s="8">
        <f t="shared" si="7"/>
        <v>62722319072</v>
      </c>
      <c r="L9" s="6">
        <f t="shared" si="8"/>
        <v>8.1273219366266858</v>
      </c>
      <c r="M9" s="8">
        <f t="shared" si="9"/>
        <v>1.3726780633733142</v>
      </c>
      <c r="N9" s="8">
        <f t="shared" si="10"/>
        <v>1.8842450656663123</v>
      </c>
      <c r="O9" s="8">
        <f t="shared" si="11"/>
        <v>-29.765756611111115</v>
      </c>
      <c r="P9" s="8">
        <f t="shared" si="12"/>
        <v>886.00026663190511</v>
      </c>
    </row>
    <row r="10" spans="2:16" x14ac:dyDescent="0.35">
      <c r="B10" s="6">
        <v>1900</v>
      </c>
      <c r="C10" s="7">
        <v>13.6</v>
      </c>
      <c r="D10" s="6">
        <f t="shared" si="0"/>
        <v>3610000</v>
      </c>
      <c r="E10" s="6">
        <f t="shared" si="1"/>
        <v>6859000000</v>
      </c>
      <c r="F10" s="6">
        <f t="shared" si="2"/>
        <v>13032100000000</v>
      </c>
      <c r="G10" s="6">
        <f t="shared" si="3"/>
        <v>2.476099E+16</v>
      </c>
      <c r="H10" s="6">
        <f t="shared" si="4"/>
        <v>4.7045880999999996E+19</v>
      </c>
      <c r="I10" s="8">
        <f t="shared" si="5"/>
        <v>25840</v>
      </c>
      <c r="J10" s="8">
        <f t="shared" si="6"/>
        <v>49096000</v>
      </c>
      <c r="K10" s="8">
        <f t="shared" si="7"/>
        <v>93282400000</v>
      </c>
      <c r="L10" s="6">
        <f t="shared" si="8"/>
        <v>9.9374483068240806</v>
      </c>
      <c r="M10" s="8">
        <f t="shared" si="9"/>
        <v>3.662551693175919</v>
      </c>
      <c r="N10" s="8">
        <f t="shared" si="10"/>
        <v>13.414284905185792</v>
      </c>
      <c r="O10" s="8">
        <f t="shared" si="11"/>
        <v>-25.665756611111114</v>
      </c>
      <c r="P10" s="8">
        <f t="shared" si="12"/>
        <v>658.73106242079382</v>
      </c>
    </row>
    <row r="11" spans="2:16" x14ac:dyDescent="0.35">
      <c r="B11" s="6">
        <v>1910</v>
      </c>
      <c r="C11" s="7">
        <v>15.2</v>
      </c>
      <c r="D11" s="6">
        <f t="shared" si="0"/>
        <v>3648100</v>
      </c>
      <c r="E11" s="6">
        <f t="shared" si="1"/>
        <v>6967871000</v>
      </c>
      <c r="F11" s="6">
        <f t="shared" si="2"/>
        <v>13308633610000</v>
      </c>
      <c r="G11" s="6">
        <f t="shared" si="3"/>
        <v>2.54194901951E+16</v>
      </c>
      <c r="H11" s="6">
        <f t="shared" si="4"/>
        <v>4.8551226272640999E+19</v>
      </c>
      <c r="I11" s="8">
        <f t="shared" si="5"/>
        <v>29032</v>
      </c>
      <c r="J11" s="8">
        <f t="shared" si="6"/>
        <v>55451120</v>
      </c>
      <c r="K11" s="8">
        <f t="shared" si="7"/>
        <v>105911639200</v>
      </c>
      <c r="L11" s="6">
        <f t="shared" si="8"/>
        <v>11.880739168263972</v>
      </c>
      <c r="M11" s="8">
        <f t="shared" si="9"/>
        <v>3.3192608317360275</v>
      </c>
      <c r="N11" s="8">
        <f t="shared" si="10"/>
        <v>11.017492469096945</v>
      </c>
      <c r="O11" s="8">
        <f t="shared" si="11"/>
        <v>-24.065756611111116</v>
      </c>
      <c r="P11" s="8">
        <f t="shared" si="12"/>
        <v>579.16064126523838</v>
      </c>
    </row>
    <row r="12" spans="2:16" x14ac:dyDescent="0.35">
      <c r="B12" s="6">
        <v>1929</v>
      </c>
      <c r="C12" s="7">
        <v>15.6</v>
      </c>
      <c r="D12" s="6">
        <f t="shared" si="0"/>
        <v>3721041</v>
      </c>
      <c r="E12" s="6">
        <f t="shared" si="1"/>
        <v>7177888089</v>
      </c>
      <c r="F12" s="6">
        <f t="shared" si="2"/>
        <v>13846146123681</v>
      </c>
      <c r="G12" s="6">
        <f t="shared" si="3"/>
        <v>2.6709215872580648E+16</v>
      </c>
      <c r="H12" s="6">
        <f t="shared" si="4"/>
        <v>5.1522077418208076E+19</v>
      </c>
      <c r="I12" s="8">
        <f t="shared" si="5"/>
        <v>30092.399999999998</v>
      </c>
      <c r="J12" s="8">
        <f t="shared" si="6"/>
        <v>58048239.600000001</v>
      </c>
      <c r="K12" s="8">
        <f t="shared" si="7"/>
        <v>111975054188.39999</v>
      </c>
      <c r="L12" s="6">
        <f t="shared" si="8"/>
        <v>18.319824699981837</v>
      </c>
      <c r="M12" s="8">
        <f t="shared" si="9"/>
        <v>-2.719824699981837</v>
      </c>
      <c r="N12" s="8">
        <f t="shared" si="10"/>
        <v>7.3974463986312893</v>
      </c>
      <c r="O12" s="8">
        <f t="shared" si="11"/>
        <v>-23.665756611111114</v>
      </c>
      <c r="P12" s="8">
        <f t="shared" si="12"/>
        <v>560.06803597634939</v>
      </c>
    </row>
    <row r="13" spans="2:16" x14ac:dyDescent="0.35">
      <c r="B13" s="6">
        <v>1940</v>
      </c>
      <c r="C13" s="7">
        <v>19.600000000000001</v>
      </c>
      <c r="D13" s="6">
        <f t="shared" si="0"/>
        <v>3763600</v>
      </c>
      <c r="E13" s="6">
        <f t="shared" si="1"/>
        <v>7301384000</v>
      </c>
      <c r="F13" s="6">
        <f t="shared" si="2"/>
        <v>14164684960000</v>
      </c>
      <c r="G13" s="6">
        <f t="shared" si="3"/>
        <v>2.74794888224E+16</v>
      </c>
      <c r="H13" s="6">
        <f t="shared" si="4"/>
        <v>5.3310208315455996E+19</v>
      </c>
      <c r="I13" s="8">
        <f t="shared" si="5"/>
        <v>38024</v>
      </c>
      <c r="J13" s="8">
        <f t="shared" si="6"/>
        <v>73766560</v>
      </c>
      <c r="K13" s="8">
        <f t="shared" si="7"/>
        <v>143107126400</v>
      </c>
      <c r="L13" s="6">
        <f t="shared" si="8"/>
        <v>24.063398374797544</v>
      </c>
      <c r="M13" s="8">
        <f t="shared" si="9"/>
        <v>-4.4633983747975421</v>
      </c>
      <c r="N13" s="8">
        <f t="shared" si="10"/>
        <v>19.92192505214534</v>
      </c>
      <c r="O13" s="8">
        <f t="shared" si="11"/>
        <v>-19.665756611111114</v>
      </c>
      <c r="P13" s="8">
        <f t="shared" si="12"/>
        <v>386.74198308746048</v>
      </c>
    </row>
    <row r="14" spans="2:16" x14ac:dyDescent="0.35">
      <c r="B14" s="6">
        <v>1950</v>
      </c>
      <c r="C14" s="7">
        <v>25.8</v>
      </c>
      <c r="D14" s="6">
        <f t="shared" si="0"/>
        <v>3802500</v>
      </c>
      <c r="E14" s="6">
        <f t="shared" si="1"/>
        <v>7414875000</v>
      </c>
      <c r="F14" s="6">
        <f t="shared" si="2"/>
        <v>14459006250000</v>
      </c>
      <c r="G14" s="6">
        <f t="shared" si="3"/>
        <v>2.81950621875E+16</v>
      </c>
      <c r="H14" s="6">
        <f t="shared" si="4"/>
        <v>5.4980371265624998E+19</v>
      </c>
      <c r="I14" s="8">
        <f t="shared" si="5"/>
        <v>50310</v>
      </c>
      <c r="J14" s="8">
        <f t="shared" si="6"/>
        <v>98104500</v>
      </c>
      <c r="K14" s="8">
        <f t="shared" si="7"/>
        <v>191303775000</v>
      </c>
      <c r="L14" s="6">
        <f t="shared" si="8"/>
        <v>30.803355197509518</v>
      </c>
      <c r="M14" s="8">
        <f t="shared" si="9"/>
        <v>-5.0033551975095172</v>
      </c>
      <c r="N14" s="8">
        <f t="shared" si="10"/>
        <v>25.033563232445498</v>
      </c>
      <c r="O14" s="8">
        <f t="shared" si="11"/>
        <v>-13.465756611111114</v>
      </c>
      <c r="P14" s="8">
        <f t="shared" si="12"/>
        <v>181.32660110968268</v>
      </c>
    </row>
    <row r="15" spans="2:16" x14ac:dyDescent="0.35">
      <c r="B15" s="6">
        <v>1960</v>
      </c>
      <c r="C15" s="7">
        <v>34.4</v>
      </c>
      <c r="D15" s="6">
        <f t="shared" si="0"/>
        <v>3841600</v>
      </c>
      <c r="E15" s="6">
        <f t="shared" si="1"/>
        <v>7529536000</v>
      </c>
      <c r="F15" s="6">
        <f t="shared" si="2"/>
        <v>14757890560000</v>
      </c>
      <c r="G15" s="6">
        <f t="shared" si="3"/>
        <v>2.89254654976E+16</v>
      </c>
      <c r="H15" s="6">
        <f t="shared" si="4"/>
        <v>5.6693912375296E+19</v>
      </c>
      <c r="I15" s="8">
        <f t="shared" si="5"/>
        <v>67424</v>
      </c>
      <c r="J15" s="8">
        <f t="shared" si="6"/>
        <v>132151040</v>
      </c>
      <c r="K15" s="8">
        <f t="shared" si="7"/>
        <v>259016038400</v>
      </c>
      <c r="L15" s="6">
        <f t="shared" si="8"/>
        <v>39.163584670313867</v>
      </c>
      <c r="M15" s="8">
        <f t="shared" si="9"/>
        <v>-4.7635846703138682</v>
      </c>
      <c r="N15" s="8">
        <f t="shared" si="10"/>
        <v>22.691738911249285</v>
      </c>
      <c r="O15" s="8">
        <f t="shared" si="11"/>
        <v>-4.8657566111111166</v>
      </c>
      <c r="P15" s="8">
        <f t="shared" si="12"/>
        <v>23.675587398571537</v>
      </c>
    </row>
    <row r="16" spans="2:16" x14ac:dyDescent="0.35">
      <c r="B16" s="6">
        <v>1970</v>
      </c>
      <c r="C16" s="7">
        <v>48.2</v>
      </c>
      <c r="D16" s="6">
        <f t="shared" si="0"/>
        <v>3880900</v>
      </c>
      <c r="E16" s="6">
        <f t="shared" si="1"/>
        <v>7645373000</v>
      </c>
      <c r="F16" s="6">
        <f t="shared" si="2"/>
        <v>15061384810000</v>
      </c>
      <c r="G16" s="6">
        <f t="shared" si="3"/>
        <v>2.96709280757E+16</v>
      </c>
      <c r="H16" s="6">
        <f t="shared" si="4"/>
        <v>5.8451728309129003E+19</v>
      </c>
      <c r="I16" s="8">
        <f t="shared" si="5"/>
        <v>94954</v>
      </c>
      <c r="J16" s="8">
        <f t="shared" si="6"/>
        <v>187059380</v>
      </c>
      <c r="K16" s="8">
        <f t="shared" si="7"/>
        <v>368506978600</v>
      </c>
      <c r="L16" s="6">
        <f t="shared" si="8"/>
        <v>49.312529257207643</v>
      </c>
      <c r="M16" s="8">
        <f t="shared" si="9"/>
        <v>-1.1125292572076404</v>
      </c>
      <c r="N16" s="8">
        <f t="shared" si="10"/>
        <v>1.2377213481429841</v>
      </c>
      <c r="O16" s="8">
        <f t="shared" si="11"/>
        <v>8.9342433888888877</v>
      </c>
      <c r="P16" s="8">
        <f t="shared" si="12"/>
        <v>79.8207049319048</v>
      </c>
    </row>
    <row r="17" spans="1:17" x14ac:dyDescent="0.35">
      <c r="B17" s="6">
        <v>1980</v>
      </c>
      <c r="C17" s="7">
        <v>66.8</v>
      </c>
      <c r="D17" s="6">
        <f t="shared" si="0"/>
        <v>3920400</v>
      </c>
      <c r="E17" s="6">
        <f t="shared" si="1"/>
        <v>7762392000</v>
      </c>
      <c r="F17" s="6">
        <f t="shared" si="2"/>
        <v>15369536160000</v>
      </c>
      <c r="G17" s="6">
        <f t="shared" si="3"/>
        <v>3.04316815968E+16</v>
      </c>
      <c r="H17" s="6">
        <f t="shared" si="4"/>
        <v>6.0254729561663996E+19</v>
      </c>
      <c r="I17" s="8">
        <f t="shared" si="5"/>
        <v>132264</v>
      </c>
      <c r="J17" s="8">
        <f t="shared" si="6"/>
        <v>261882720</v>
      </c>
      <c r="K17" s="8">
        <f t="shared" si="7"/>
        <v>518527785600</v>
      </c>
      <c r="L17" s="6">
        <f t="shared" si="8"/>
        <v>61.418631422071485</v>
      </c>
      <c r="M17" s="8">
        <f t="shared" si="9"/>
        <v>5.3813685779285123</v>
      </c>
      <c r="N17" s="8">
        <f t="shared" si="10"/>
        <v>28.959127771516339</v>
      </c>
      <c r="O17" s="8">
        <f t="shared" si="11"/>
        <v>27.534243388888882</v>
      </c>
      <c r="P17" s="8">
        <f t="shared" si="12"/>
        <v>758.13455899857115</v>
      </c>
    </row>
    <row r="18" spans="1:17" x14ac:dyDescent="0.35">
      <c r="B18" s="6">
        <v>1990</v>
      </c>
      <c r="C18" s="7">
        <v>81.249645000000001</v>
      </c>
      <c r="D18" s="6">
        <f t="shared" si="0"/>
        <v>3960100</v>
      </c>
      <c r="E18" s="6">
        <f t="shared" si="1"/>
        <v>7880599000</v>
      </c>
      <c r="F18" s="6">
        <f t="shared" si="2"/>
        <v>15682392010000</v>
      </c>
      <c r="G18" s="6">
        <f t="shared" si="3"/>
        <v>3.12079600999E+16</v>
      </c>
      <c r="H18" s="6">
        <f t="shared" si="4"/>
        <v>6.2103840598800998E+19</v>
      </c>
      <c r="I18" s="8">
        <f t="shared" si="5"/>
        <v>161686.79355</v>
      </c>
      <c r="J18" s="8">
        <f t="shared" si="6"/>
        <v>321756719.1645</v>
      </c>
      <c r="K18" s="8">
        <f t="shared" si="7"/>
        <v>640295871137.35498</v>
      </c>
      <c r="L18" s="6">
        <f t="shared" si="8"/>
        <v>75.650333628844237</v>
      </c>
      <c r="M18" s="8">
        <f t="shared" si="9"/>
        <v>5.599311371155764</v>
      </c>
      <c r="N18" s="8">
        <f t="shared" si="10"/>
        <v>31.352287831154243</v>
      </c>
      <c r="O18" s="8">
        <f t="shared" si="11"/>
        <v>41.983888388888886</v>
      </c>
      <c r="P18" s="8">
        <f t="shared" si="12"/>
        <v>1762.646884250679</v>
      </c>
    </row>
    <row r="19" spans="1:17" x14ac:dyDescent="0.35">
      <c r="B19" s="6">
        <v>2000</v>
      </c>
      <c r="C19" s="7">
        <v>97.483412000000001</v>
      </c>
      <c r="D19" s="6">
        <f t="shared" si="0"/>
        <v>4000000</v>
      </c>
      <c r="E19" s="6">
        <f t="shared" si="1"/>
        <v>8000000000</v>
      </c>
      <c r="F19" s="6">
        <f t="shared" si="2"/>
        <v>16000000000000</v>
      </c>
      <c r="G19" s="6">
        <f t="shared" si="3"/>
        <v>3.2E+16</v>
      </c>
      <c r="H19" s="6">
        <f t="shared" si="4"/>
        <v>6.4E+19</v>
      </c>
      <c r="I19" s="8">
        <f t="shared" si="5"/>
        <v>194966.82399999999</v>
      </c>
      <c r="J19" s="8">
        <f t="shared" si="6"/>
        <v>389933648</v>
      </c>
      <c r="K19" s="8">
        <f t="shared" si="7"/>
        <v>779867296000</v>
      </c>
      <c r="L19" s="6">
        <f t="shared" si="8"/>
        <v>92.176078341435641</v>
      </c>
      <c r="M19" s="8">
        <f t="shared" si="9"/>
        <v>5.3073336585643602</v>
      </c>
      <c r="N19" s="8">
        <f t="shared" si="10"/>
        <v>28.167790563330158</v>
      </c>
      <c r="O19" s="8">
        <f t="shared" si="11"/>
        <v>58.217655388888886</v>
      </c>
      <c r="P19" s="8">
        <f t="shared" si="12"/>
        <v>3389.2953989794232</v>
      </c>
    </row>
    <row r="20" spans="1:17" x14ac:dyDescent="0.35">
      <c r="B20" s="6">
        <v>2010</v>
      </c>
      <c r="C20" s="7">
        <v>112.336538</v>
      </c>
      <c r="D20" s="6">
        <f t="shared" si="0"/>
        <v>4040100</v>
      </c>
      <c r="E20" s="6">
        <f t="shared" si="1"/>
        <v>8120601000</v>
      </c>
      <c r="F20" s="6">
        <f t="shared" si="2"/>
        <v>16322408010000</v>
      </c>
      <c r="G20" s="6">
        <f t="shared" si="3"/>
        <v>3.28080401001E+16</v>
      </c>
      <c r="H20" s="6">
        <f t="shared" si="4"/>
        <v>6.5944160601201E+19</v>
      </c>
      <c r="I20" s="8">
        <f t="shared" si="5"/>
        <v>225796.44138</v>
      </c>
      <c r="J20" s="8">
        <f t="shared" si="6"/>
        <v>453850847.17379999</v>
      </c>
      <c r="K20" s="8">
        <f t="shared" si="7"/>
        <v>912240202819.33801</v>
      </c>
      <c r="L20" s="6">
        <f t="shared" si="8"/>
        <v>111.16430802375544</v>
      </c>
      <c r="M20" s="8">
        <f t="shared" si="9"/>
        <v>1.1722299762445658</v>
      </c>
      <c r="N20" s="8">
        <f t="shared" si="10"/>
        <v>1.3741231172063353</v>
      </c>
      <c r="O20" s="8">
        <f t="shared" si="11"/>
        <v>73.070781388888889</v>
      </c>
      <c r="P20" s="8">
        <f t="shared" si="12"/>
        <v>5339.3390927827904</v>
      </c>
    </row>
    <row r="21" spans="1:17" x14ac:dyDescent="0.35">
      <c r="B21" s="6">
        <v>2020</v>
      </c>
      <c r="C21" s="7">
        <v>126.01402400000001</v>
      </c>
      <c r="D21" s="6">
        <f t="shared" si="0"/>
        <v>4080400</v>
      </c>
      <c r="E21" s="6">
        <f t="shared" si="1"/>
        <v>8242408000</v>
      </c>
      <c r="F21" s="6">
        <f t="shared" si="2"/>
        <v>16649664160000</v>
      </c>
      <c r="G21" s="6">
        <f t="shared" si="3"/>
        <v>3.36323216032E+16</v>
      </c>
      <c r="H21" s="6">
        <f t="shared" si="4"/>
        <v>6.7937289638463996E+19</v>
      </c>
      <c r="I21" s="8">
        <f t="shared" si="5"/>
        <v>254548.32848000003</v>
      </c>
      <c r="J21" s="8">
        <f t="shared" si="6"/>
        <v>514187623.52960002</v>
      </c>
      <c r="K21" s="8">
        <f t="shared" si="7"/>
        <v>1038658999529.792</v>
      </c>
      <c r="L21" s="6">
        <f t="shared" si="8"/>
        <v>132.78346513977158</v>
      </c>
      <c r="M21" s="8">
        <f t="shared" si="9"/>
        <v>-6.7694411397715726</v>
      </c>
      <c r="N21" s="8">
        <f t="shared" si="10"/>
        <v>45.825333344831847</v>
      </c>
      <c r="O21" s="8">
        <f t="shared" si="11"/>
        <v>86.748267388888891</v>
      </c>
      <c r="P21" s="8">
        <f t="shared" si="12"/>
        <v>7525.2618949741636</v>
      </c>
    </row>
    <row r="22" spans="1:17" x14ac:dyDescent="0.35">
      <c r="B22" s="19"/>
      <c r="C22" s="26"/>
    </row>
    <row r="23" spans="1:17" x14ac:dyDescent="0.35">
      <c r="A23" t="s">
        <v>9</v>
      </c>
      <c r="B23" s="19">
        <f>SUM(B4:B21)</f>
        <v>34709</v>
      </c>
      <c r="C23" s="19">
        <f t="shared" ref="C23:P23" si="13">SUM(C4:C21)</f>
        <v>706.78361900000004</v>
      </c>
      <c r="D23" s="19">
        <f t="shared" si="13"/>
        <v>66990321</v>
      </c>
      <c r="E23" s="19">
        <f t="shared" si="13"/>
        <v>129413848745</v>
      </c>
      <c r="F23" s="19">
        <f t="shared" si="13"/>
        <v>250233859862817</v>
      </c>
      <c r="G23" s="19">
        <f t="shared" si="13"/>
        <v>4.8428993318806643E+17</v>
      </c>
      <c r="H23" s="19">
        <f t="shared" si="13"/>
        <v>9.381144233484558E+20</v>
      </c>
      <c r="I23" s="19">
        <f t="shared" si="13"/>
        <v>1398836.7874099999</v>
      </c>
      <c r="J23" s="19">
        <f t="shared" si="13"/>
        <v>2769888915.0679002</v>
      </c>
      <c r="K23" s="19">
        <f t="shared" si="13"/>
        <v>5487375646740.4854</v>
      </c>
      <c r="L23" s="19">
        <f t="shared" si="13"/>
        <v>706.78868154773954</v>
      </c>
      <c r="M23" s="19">
        <f t="shared" si="13"/>
        <v>-5.0625477395307428E-3</v>
      </c>
      <c r="N23" s="19">
        <f t="shared" si="13"/>
        <v>241.2719968717883</v>
      </c>
      <c r="O23" s="19">
        <f t="shared" si="13"/>
        <v>0</v>
      </c>
      <c r="P23" s="19">
        <f t="shared" si="13"/>
        <v>26956.948881911499</v>
      </c>
    </row>
    <row r="24" spans="1:17" x14ac:dyDescent="0.35">
      <c r="A24" t="s">
        <v>36</v>
      </c>
      <c r="B24" s="19"/>
      <c r="C24" s="26">
        <f>AVERAGE(C4:C21)</f>
        <v>39.265756611111115</v>
      </c>
    </row>
    <row r="25" spans="1:17" x14ac:dyDescent="0.35">
      <c r="B25" s="19"/>
      <c r="C25" s="26"/>
    </row>
    <row r="26" spans="1:17" x14ac:dyDescent="0.35">
      <c r="B26" s="19"/>
      <c r="C26" s="26"/>
    </row>
    <row r="28" spans="1:17" x14ac:dyDescent="0.35">
      <c r="K28" s="24" t="s">
        <v>29</v>
      </c>
      <c r="L28" s="25">
        <f>1-N23/P23</f>
        <v>0.99104972903540711</v>
      </c>
      <c r="P28" s="22" t="s">
        <v>31</v>
      </c>
      <c r="Q28" s="25">
        <f>1-((N23/(18-4))/(P23/(18-1)))</f>
        <v>0.98913181382870863</v>
      </c>
    </row>
    <row r="29" spans="1:17" x14ac:dyDescent="0.35">
      <c r="B29" t="s">
        <v>16</v>
      </c>
      <c r="C29" t="s">
        <v>17</v>
      </c>
      <c r="D29" t="str">
        <f>C30</f>
        <v>SumX^2</v>
      </c>
      <c r="E29" t="str">
        <f>D30</f>
        <v>SumX^3</v>
      </c>
      <c r="G29" t="s">
        <v>11</v>
      </c>
      <c r="I29" t="s">
        <v>21</v>
      </c>
    </row>
    <row r="30" spans="1:17" x14ac:dyDescent="0.35">
      <c r="B30" t="s">
        <v>17</v>
      </c>
      <c r="C30" t="s">
        <v>18</v>
      </c>
      <c r="D30" t="str">
        <f t="shared" ref="D30:E31" si="14">C31</f>
        <v>SumX^3</v>
      </c>
      <c r="E30" t="str">
        <f t="shared" si="14"/>
        <v>SumX^4</v>
      </c>
      <c r="F30" s="15" t="s">
        <v>10</v>
      </c>
      <c r="G30" t="s">
        <v>12</v>
      </c>
      <c r="H30" s="15" t="s">
        <v>14</v>
      </c>
      <c r="I30" t="s">
        <v>22</v>
      </c>
    </row>
    <row r="31" spans="1:17" x14ac:dyDescent="0.35">
      <c r="B31" t="s">
        <v>18</v>
      </c>
      <c r="C31" t="s">
        <v>19</v>
      </c>
      <c r="D31" t="str">
        <f t="shared" si="14"/>
        <v>SumX^4</v>
      </c>
      <c r="E31" t="str">
        <f t="shared" si="14"/>
        <v>SumX^5</v>
      </c>
      <c r="G31" t="s">
        <v>13</v>
      </c>
      <c r="I31" t="s">
        <v>23</v>
      </c>
    </row>
    <row r="32" spans="1:17" x14ac:dyDescent="0.35">
      <c r="B32" t="s">
        <v>19</v>
      </c>
      <c r="C32" t="s">
        <v>20</v>
      </c>
      <c r="D32" t="s">
        <v>32</v>
      </c>
      <c r="E32" t="s">
        <v>33</v>
      </c>
      <c r="G32" t="s">
        <v>34</v>
      </c>
      <c r="I32" t="s">
        <v>35</v>
      </c>
      <c r="M32" s="24" t="s">
        <v>41</v>
      </c>
      <c r="N32">
        <f>H47+H48*2021+H49*2021^2+H50*2021^3</f>
        <v>135.09656689502299</v>
      </c>
    </row>
    <row r="34" spans="2:13" x14ac:dyDescent="0.35">
      <c r="M34" s="28">
        <f>(N32-131.467757)/131.467757</f>
        <v>2.7602280420917061E-2</v>
      </c>
    </row>
    <row r="35" spans="2:13" x14ac:dyDescent="0.35">
      <c r="B35">
        <f>COUNTA(B4:B21)</f>
        <v>18</v>
      </c>
      <c r="C35">
        <f>B23</f>
        <v>34709</v>
      </c>
      <c r="D35">
        <f>D23</f>
        <v>66990321</v>
      </c>
      <c r="E35">
        <f>E23</f>
        <v>129413848745</v>
      </c>
      <c r="G35" t="s">
        <v>11</v>
      </c>
      <c r="I35">
        <f>C23</f>
        <v>706.78361900000004</v>
      </c>
    </row>
    <row r="36" spans="2:13" x14ac:dyDescent="0.35">
      <c r="B36">
        <f>B23</f>
        <v>34709</v>
      </c>
      <c r="C36">
        <f>D23</f>
        <v>66990321</v>
      </c>
      <c r="D36">
        <f>E23</f>
        <v>129413848745</v>
      </c>
      <c r="E36">
        <f>F23</f>
        <v>250233859862817</v>
      </c>
      <c r="F36" t="s">
        <v>10</v>
      </c>
      <c r="G36" t="s">
        <v>12</v>
      </c>
      <c r="H36" t="s">
        <v>14</v>
      </c>
      <c r="I36">
        <f>I23</f>
        <v>1398836.7874099999</v>
      </c>
    </row>
    <row r="37" spans="2:13" x14ac:dyDescent="0.35">
      <c r="B37">
        <f>D23</f>
        <v>66990321</v>
      </c>
      <c r="C37">
        <f>E23</f>
        <v>129413848745</v>
      </c>
      <c r="D37">
        <f>F23</f>
        <v>250233859862817</v>
      </c>
      <c r="E37">
        <f>G23</f>
        <v>4.8428993318806643E+17</v>
      </c>
      <c r="G37" t="s">
        <v>13</v>
      </c>
      <c r="I37">
        <f>J23</f>
        <v>2769888915.0679002</v>
      </c>
    </row>
    <row r="38" spans="2:13" x14ac:dyDescent="0.35">
      <c r="B38">
        <f>E23</f>
        <v>129413848745</v>
      </c>
      <c r="C38">
        <f>F23</f>
        <v>250233859862817</v>
      </c>
      <c r="D38">
        <f>G23</f>
        <v>4.8428993318806643E+17</v>
      </c>
      <c r="E38">
        <f>H23</f>
        <v>9.381144233484558E+20</v>
      </c>
      <c r="G38" t="s">
        <v>34</v>
      </c>
      <c r="I38">
        <f>K23</f>
        <v>5487375646740.4854</v>
      </c>
    </row>
    <row r="41" spans="2:13" x14ac:dyDescent="0.35">
      <c r="G41" t="s">
        <v>11</v>
      </c>
      <c r="I41" cm="1">
        <f t="array" ref="I41:I44">MMULT(MINVERSE(B35:E38),I35:I38)</f>
        <v>-178793.85911560059</v>
      </c>
    </row>
    <row r="42" spans="2:13" x14ac:dyDescent="0.35">
      <c r="G42" t="s">
        <v>12</v>
      </c>
      <c r="H42" t="s">
        <v>14</v>
      </c>
      <c r="I42">
        <v>289.4081197977066</v>
      </c>
    </row>
    <row r="43" spans="2:13" x14ac:dyDescent="0.35">
      <c r="G43" t="s">
        <v>13</v>
      </c>
      <c r="I43">
        <v>-0.15613003907492384</v>
      </c>
    </row>
    <row r="44" spans="2:13" x14ac:dyDescent="0.35">
      <c r="G44" t="s">
        <v>34</v>
      </c>
      <c r="I44">
        <v>2.8073743987278021E-5</v>
      </c>
    </row>
    <row r="47" spans="2:13" x14ac:dyDescent="0.35">
      <c r="G47" s="27" t="s">
        <v>11</v>
      </c>
      <c r="H47" s="16">
        <v>-178793.85911560059</v>
      </c>
    </row>
    <row r="48" spans="2:13" x14ac:dyDescent="0.35">
      <c r="G48" s="27" t="s">
        <v>12</v>
      </c>
      <c r="H48" s="16">
        <v>289.4081197977066</v>
      </c>
    </row>
    <row r="49" spans="7:8" x14ac:dyDescent="0.35">
      <c r="G49" s="27" t="s">
        <v>13</v>
      </c>
      <c r="H49" s="16">
        <v>-0.15613003907492384</v>
      </c>
    </row>
    <row r="50" spans="7:8" x14ac:dyDescent="0.35">
      <c r="G50" s="27" t="s">
        <v>34</v>
      </c>
      <c r="H50" s="16">
        <v>2.8073743987278021E-5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D016-4524-4139-9D8B-21D4532A3165}">
  <dimension ref="A2:T53"/>
  <sheetViews>
    <sheetView topLeftCell="F1" zoomScaleNormal="100" workbookViewId="0">
      <selection activeCell="N34" sqref="N34"/>
    </sheetView>
  </sheetViews>
  <sheetFormatPr defaultRowHeight="14.5" x14ac:dyDescent="0.35"/>
  <cols>
    <col min="2" max="2" width="11.81640625" bestFit="1" customWidth="1"/>
    <col min="3" max="3" width="10.81640625" bestFit="1" customWidth="1"/>
    <col min="4" max="6" width="11.81640625" bestFit="1" customWidth="1"/>
    <col min="9" max="9" width="21.7265625" bestFit="1" customWidth="1"/>
    <col min="10" max="10" width="35.81640625" bestFit="1" customWidth="1"/>
    <col min="11" max="11" width="14.6328125" bestFit="1" customWidth="1"/>
    <col min="12" max="12" width="19.6328125" bestFit="1" customWidth="1"/>
    <col min="13" max="14" width="23.1796875" bestFit="1" customWidth="1"/>
    <col min="15" max="15" width="10.08984375" bestFit="1" customWidth="1"/>
    <col min="17" max="17" width="9.08984375" bestFit="1" customWidth="1"/>
    <col min="19" max="19" width="11.81640625" bestFit="1" customWidth="1"/>
  </cols>
  <sheetData>
    <row r="2" spans="2:19" x14ac:dyDescent="0.35">
      <c r="B2" s="2" t="s">
        <v>0</v>
      </c>
      <c r="C2" s="4" t="s">
        <v>3</v>
      </c>
    </row>
    <row r="3" spans="2:19" x14ac:dyDescent="0.35">
      <c r="B3" s="3" t="s">
        <v>1</v>
      </c>
      <c r="C3" s="3" t="s">
        <v>2</v>
      </c>
      <c r="D3" s="3" t="s">
        <v>4</v>
      </c>
      <c r="E3" s="3" t="s">
        <v>7</v>
      </c>
      <c r="F3" s="3" t="s">
        <v>8</v>
      </c>
      <c r="G3" s="3" t="s">
        <v>37</v>
      </c>
      <c r="H3" s="3" t="s">
        <v>38</v>
      </c>
      <c r="I3" s="3" t="s">
        <v>46</v>
      </c>
      <c r="J3" s="3" t="s">
        <v>49</v>
      </c>
      <c r="K3" s="3" t="s">
        <v>5</v>
      </c>
      <c r="L3" s="3" t="s">
        <v>6</v>
      </c>
      <c r="M3" s="3" t="s">
        <v>39</v>
      </c>
      <c r="N3" s="3" t="s">
        <v>47</v>
      </c>
      <c r="O3" s="3" t="s">
        <v>15</v>
      </c>
      <c r="P3" s="3" t="s">
        <v>24</v>
      </c>
      <c r="Q3" s="3" t="s">
        <v>25</v>
      </c>
      <c r="R3" s="3" t="s">
        <v>28</v>
      </c>
      <c r="S3" s="3" t="s">
        <v>26</v>
      </c>
    </row>
    <row r="4" spans="2:19" x14ac:dyDescent="0.35">
      <c r="B4" s="6">
        <v>1836</v>
      </c>
      <c r="C4" s="7">
        <v>7.8</v>
      </c>
      <c r="D4" s="6">
        <f>B4^2</f>
        <v>3370896</v>
      </c>
      <c r="E4" s="6">
        <f>B4^3</f>
        <v>6188965056</v>
      </c>
      <c r="F4" s="6">
        <f>B4^4</f>
        <v>11362939842816</v>
      </c>
      <c r="G4" s="6">
        <f>B4^5</f>
        <v>2.0862357551410176E+16</v>
      </c>
      <c r="H4" s="6">
        <f>B4^6</f>
        <v>3.8303288464389079E+19</v>
      </c>
      <c r="I4" s="8">
        <f>C4^7</f>
        <v>1756556.8854911996</v>
      </c>
      <c r="J4" s="8">
        <f>B4^8</f>
        <v>1.2911640187145531E+26</v>
      </c>
      <c r="K4" s="8">
        <f>B4*C4</f>
        <v>14320.8</v>
      </c>
      <c r="L4" s="8">
        <f>B4^2*C4</f>
        <v>26292988.800000001</v>
      </c>
      <c r="M4" s="8">
        <f>B4^3*C4</f>
        <v>48273927436.799995</v>
      </c>
      <c r="N4" s="8">
        <f>B4^4*C4</f>
        <v>88630930773964.797</v>
      </c>
      <c r="O4" s="6">
        <f>$I$42+$I$43*B4+$I$44*D4+$I$45*E4+F4*$I$46</f>
        <v>16.391953781540025</v>
      </c>
      <c r="P4" s="8">
        <f>C4-O4</f>
        <v>-8.591953781540024</v>
      </c>
      <c r="Q4" s="8">
        <f>P4^2</f>
        <v>73.821669784119919</v>
      </c>
      <c r="R4" s="8">
        <f>C4-$C$24</f>
        <v>-31.465756611111114</v>
      </c>
      <c r="S4" s="8">
        <f>R4^2</f>
        <v>990.09383910968279</v>
      </c>
    </row>
    <row r="5" spans="2:19" x14ac:dyDescent="0.35">
      <c r="B5" s="6">
        <v>1846</v>
      </c>
      <c r="C5" s="7">
        <v>7.5</v>
      </c>
      <c r="D5" s="6">
        <f t="shared" ref="D5:D21" si="0">B5^2</f>
        <v>3407716</v>
      </c>
      <c r="E5" s="6">
        <f t="shared" ref="E5:E21" si="1">B5^3</f>
        <v>6290643736</v>
      </c>
      <c r="F5" s="6">
        <f t="shared" ref="F5:F21" si="2">B5^4</f>
        <v>11612528336656</v>
      </c>
      <c r="G5" s="6">
        <f t="shared" ref="G5:G21" si="3">B5^5</f>
        <v>2.1436727309466976E+16</v>
      </c>
      <c r="H5" s="6">
        <f t="shared" ref="H5:H21" si="4">B5^6</f>
        <v>3.9572198613276041E+19</v>
      </c>
      <c r="I5" s="8">
        <f t="shared" ref="I5:I21" si="5">C5^7</f>
        <v>1334838.8671875</v>
      </c>
      <c r="J5" s="8">
        <f t="shared" ref="J5:J21" si="6">B5^8</f>
        <v>1.3485081436963857E+26</v>
      </c>
      <c r="K5" s="8">
        <f>B5*C5</f>
        <v>13845</v>
      </c>
      <c r="L5" s="8">
        <f>B5^2*C5</f>
        <v>25557870</v>
      </c>
      <c r="M5" s="8">
        <f>B5^3*C5</f>
        <v>47179828020</v>
      </c>
      <c r="N5" s="8">
        <f>B5^4*C5</f>
        <v>87093962524920</v>
      </c>
      <c r="O5" s="6">
        <f t="shared" ref="O5:O21" si="7">$I$42+$I$43*B5+$I$44*D5+$I$45*E5+F5*$I$46</f>
        <v>11.272120304572537</v>
      </c>
      <c r="P5" s="8">
        <f>C5-O5</f>
        <v>-3.7721203045725371</v>
      </c>
      <c r="Q5" s="8">
        <f t="shared" ref="Q5:Q21" si="8">P5^2</f>
        <v>14.228891592168409</v>
      </c>
      <c r="R5" s="8">
        <f>C5-$C$24</f>
        <v>-31.765756611111115</v>
      </c>
      <c r="S5" s="8">
        <f t="shared" ref="S5:S21" si="9">R5^2</f>
        <v>1009.0632930763495</v>
      </c>
    </row>
    <row r="6" spans="2:19" x14ac:dyDescent="0.35">
      <c r="B6" s="6">
        <v>1858</v>
      </c>
      <c r="C6" s="7">
        <v>8.3000000000000007</v>
      </c>
      <c r="D6" s="6">
        <f t="shared" si="0"/>
        <v>3452164</v>
      </c>
      <c r="E6" s="6">
        <f t="shared" si="1"/>
        <v>6414120712</v>
      </c>
      <c r="F6" s="6">
        <f t="shared" si="2"/>
        <v>11917436282896</v>
      </c>
      <c r="G6" s="6">
        <f t="shared" si="3"/>
        <v>2.2142596613620768E+16</v>
      </c>
      <c r="H6" s="6">
        <f t="shared" si="4"/>
        <v>4.1140944508107391E+19</v>
      </c>
      <c r="I6" s="8">
        <f t="shared" si="5"/>
        <v>2713605.0989627019</v>
      </c>
      <c r="J6" s="8">
        <f t="shared" si="6"/>
        <v>1.4202528755688603E+26</v>
      </c>
      <c r="K6" s="8">
        <f>B6*C6</f>
        <v>15421.400000000001</v>
      </c>
      <c r="L6" s="8">
        <f>B6^2*C6</f>
        <v>28652961.200000003</v>
      </c>
      <c r="M6" s="8">
        <f>B6^3*C6</f>
        <v>53237201909.600006</v>
      </c>
      <c r="N6" s="8">
        <f>B6^4*C6</f>
        <v>98914721148036.813</v>
      </c>
      <c r="O6" s="6">
        <f t="shared" si="7"/>
        <v>6.8078472131312635</v>
      </c>
      <c r="P6" s="8">
        <f>C6-O6</f>
        <v>1.4921527868687372</v>
      </c>
      <c r="Q6" s="8">
        <f t="shared" si="8"/>
        <v>2.2265199393601391</v>
      </c>
      <c r="R6" s="8">
        <f>C6-$C$24</f>
        <v>-30.965756611111114</v>
      </c>
      <c r="S6" s="8">
        <f t="shared" si="9"/>
        <v>958.87808249857164</v>
      </c>
    </row>
    <row r="7" spans="2:19" x14ac:dyDescent="0.35">
      <c r="B7" s="6">
        <v>1862</v>
      </c>
      <c r="C7" s="7">
        <v>8.4</v>
      </c>
      <c r="D7" s="6">
        <f t="shared" si="0"/>
        <v>3467044</v>
      </c>
      <c r="E7" s="6">
        <f t="shared" si="1"/>
        <v>6455635928</v>
      </c>
      <c r="F7" s="6">
        <f t="shared" si="2"/>
        <v>12020394097936</v>
      </c>
      <c r="G7" s="6">
        <f t="shared" si="3"/>
        <v>2.2381973810356832E+16</v>
      </c>
      <c r="H7" s="6">
        <f t="shared" si="4"/>
        <v>4.167523523488442E+19</v>
      </c>
      <c r="I7" s="8">
        <f t="shared" si="5"/>
        <v>2950903.4655744005</v>
      </c>
      <c r="J7" s="8">
        <f t="shared" si="6"/>
        <v>1.4448987426969463E+26</v>
      </c>
      <c r="K7" s="8">
        <f>B7*C7</f>
        <v>15640.800000000001</v>
      </c>
      <c r="L7" s="8">
        <f>B7^2*C7</f>
        <v>29123169.600000001</v>
      </c>
      <c r="M7" s="8">
        <f>B7^3*C7</f>
        <v>54227341795.200005</v>
      </c>
      <c r="N7" s="8">
        <f>B7^4*C7</f>
        <v>100971310422662.41</v>
      </c>
      <c r="O7" s="6">
        <f t="shared" si="7"/>
        <v>5.7269142627527332</v>
      </c>
      <c r="P7" s="8">
        <f>C7-O7</f>
        <v>2.6730857372472672</v>
      </c>
      <c r="Q7" s="8">
        <f t="shared" si="8"/>
        <v>7.1453873586747658</v>
      </c>
      <c r="R7" s="8">
        <f>C7-$C$24</f>
        <v>-30.865756611111117</v>
      </c>
      <c r="S7" s="8">
        <f t="shared" si="9"/>
        <v>952.69493117634966</v>
      </c>
    </row>
    <row r="8" spans="2:19" x14ac:dyDescent="0.35">
      <c r="B8" s="6">
        <v>1872</v>
      </c>
      <c r="C8" s="7">
        <v>9</v>
      </c>
      <c r="D8" s="6">
        <f t="shared" si="0"/>
        <v>3504384</v>
      </c>
      <c r="E8" s="6">
        <f t="shared" si="1"/>
        <v>6560206848</v>
      </c>
      <c r="F8" s="6">
        <f t="shared" si="2"/>
        <v>12280707219456</v>
      </c>
      <c r="G8" s="6">
        <f t="shared" si="3"/>
        <v>2.2989483914821632E+16</v>
      </c>
      <c r="H8" s="6">
        <f t="shared" si="4"/>
        <v>4.3036313888546095E+19</v>
      </c>
      <c r="I8" s="8">
        <f t="shared" si="5"/>
        <v>4782969</v>
      </c>
      <c r="J8" s="8">
        <f t="shared" si="6"/>
        <v>1.5081576980999871E+26</v>
      </c>
      <c r="K8" s="8">
        <f>B8*C8</f>
        <v>16848</v>
      </c>
      <c r="L8" s="8">
        <f>B8^2*C8</f>
        <v>31539456</v>
      </c>
      <c r="M8" s="8">
        <f>B8^3*C8</f>
        <v>59041861632</v>
      </c>
      <c r="N8" s="8">
        <f>B8^4*C8</f>
        <v>110526364975104</v>
      </c>
      <c r="O8" s="6">
        <f t="shared" si="7"/>
        <v>3.9152401867110855</v>
      </c>
      <c r="P8" s="8">
        <f>C8-O8</f>
        <v>5.0847598132889145</v>
      </c>
      <c r="Q8" s="8">
        <f t="shared" si="8"/>
        <v>25.854782358837916</v>
      </c>
      <c r="R8" s="8">
        <f>C8-$C$24</f>
        <v>-30.265756611111115</v>
      </c>
      <c r="S8" s="8">
        <f t="shared" si="9"/>
        <v>916.01602324301621</v>
      </c>
    </row>
    <row r="9" spans="2:19" x14ac:dyDescent="0.35">
      <c r="B9" s="6">
        <v>1876</v>
      </c>
      <c r="C9" s="7">
        <v>9.5</v>
      </c>
      <c r="D9" s="6">
        <f t="shared" si="0"/>
        <v>3519376</v>
      </c>
      <c r="E9" s="6">
        <f t="shared" si="1"/>
        <v>6602349376</v>
      </c>
      <c r="F9" s="6">
        <f t="shared" si="2"/>
        <v>12386007429376</v>
      </c>
      <c r="G9" s="6">
        <f t="shared" si="3"/>
        <v>2.3236149937509376E+16</v>
      </c>
      <c r="H9" s="6">
        <f t="shared" si="4"/>
        <v>4.3591017282767585E+19</v>
      </c>
      <c r="I9" s="8">
        <f t="shared" si="5"/>
        <v>6983372.9609375</v>
      </c>
      <c r="J9" s="8">
        <f t="shared" si="6"/>
        <v>1.5341318004055747E+26</v>
      </c>
      <c r="K9" s="8">
        <f>B9*C9</f>
        <v>17822</v>
      </c>
      <c r="L9" s="8">
        <f>B9^2*C9</f>
        <v>33434072</v>
      </c>
      <c r="M9" s="8">
        <f>B9^3*C9</f>
        <v>62722319072</v>
      </c>
      <c r="N9" s="8">
        <f>B9^4*C9</f>
        <v>117667070579072</v>
      </c>
      <c r="O9" s="6">
        <f t="shared" si="7"/>
        <v>3.5468338761820517</v>
      </c>
      <c r="P9" s="8">
        <f>C9-O9</f>
        <v>5.9531661238179483</v>
      </c>
      <c r="Q9" s="8">
        <f t="shared" si="8"/>
        <v>35.440186897773614</v>
      </c>
      <c r="R9" s="8">
        <f>C9-$C$24</f>
        <v>-29.765756611111115</v>
      </c>
      <c r="S9" s="8">
        <f t="shared" si="9"/>
        <v>886.00026663190511</v>
      </c>
    </row>
    <row r="10" spans="2:19" x14ac:dyDescent="0.35">
      <c r="B10" s="6">
        <v>1900</v>
      </c>
      <c r="C10" s="7">
        <v>13.6</v>
      </c>
      <c r="D10" s="6">
        <f t="shared" si="0"/>
        <v>3610000</v>
      </c>
      <c r="E10" s="6">
        <f t="shared" si="1"/>
        <v>6859000000</v>
      </c>
      <c r="F10" s="6">
        <f t="shared" si="2"/>
        <v>13032100000000</v>
      </c>
      <c r="G10" s="6">
        <f t="shared" si="3"/>
        <v>2.476099E+16</v>
      </c>
      <c r="H10" s="6">
        <f t="shared" si="4"/>
        <v>4.7045880999999996E+19</v>
      </c>
      <c r="I10" s="8">
        <f t="shared" si="5"/>
        <v>86054256.875929564</v>
      </c>
      <c r="J10" s="8">
        <f t="shared" si="6"/>
        <v>1.6983563041000001E+26</v>
      </c>
      <c r="K10" s="8">
        <f>B10*C10</f>
        <v>25840</v>
      </c>
      <c r="L10" s="8">
        <f>B10^2*C10</f>
        <v>49096000</v>
      </c>
      <c r="M10" s="8">
        <f>B10^3*C10</f>
        <v>93282400000</v>
      </c>
      <c r="N10" s="8">
        <f>B10^4*C10</f>
        <v>177236560000000</v>
      </c>
      <c r="O10" s="6">
        <f t="shared" si="7"/>
        <v>5.6115558497753755</v>
      </c>
      <c r="P10" s="8">
        <f>C10-O10</f>
        <v>7.9884441502246242</v>
      </c>
      <c r="Q10" s="8">
        <f t="shared" si="8"/>
        <v>63.815239941258021</v>
      </c>
      <c r="R10" s="8">
        <f>C10-$C$24</f>
        <v>-25.665756611111114</v>
      </c>
      <c r="S10" s="8">
        <f t="shared" si="9"/>
        <v>658.73106242079382</v>
      </c>
    </row>
    <row r="11" spans="2:19" x14ac:dyDescent="0.35">
      <c r="B11" s="6">
        <v>1910</v>
      </c>
      <c r="C11" s="7">
        <v>15.2</v>
      </c>
      <c r="D11" s="6">
        <f t="shared" si="0"/>
        <v>3648100</v>
      </c>
      <c r="E11" s="6">
        <f t="shared" si="1"/>
        <v>6967871000</v>
      </c>
      <c r="F11" s="6">
        <f t="shared" si="2"/>
        <v>13308633610000</v>
      </c>
      <c r="G11" s="6">
        <f t="shared" si="3"/>
        <v>2.54194901951E+16</v>
      </c>
      <c r="H11" s="6">
        <f t="shared" si="4"/>
        <v>4.8551226272640999E+19</v>
      </c>
      <c r="I11" s="8">
        <f t="shared" si="5"/>
        <v>187458490.51873279</v>
      </c>
      <c r="J11" s="8">
        <f t="shared" si="6"/>
        <v>1.7711972856522164E+26</v>
      </c>
      <c r="K11" s="8">
        <f>B11*C11</f>
        <v>29032</v>
      </c>
      <c r="L11" s="8">
        <f>B11^2*C11</f>
        <v>55451120</v>
      </c>
      <c r="M11" s="8">
        <f>B11^3*C11</f>
        <v>105911639200</v>
      </c>
      <c r="N11" s="8">
        <f>B11^4*C11</f>
        <v>202291230872000</v>
      </c>
      <c r="O11" s="6">
        <f t="shared" si="7"/>
        <v>8.634883969441848</v>
      </c>
      <c r="P11" s="8">
        <f>C11-O11</f>
        <v>6.5651160305581513</v>
      </c>
      <c r="Q11" s="8">
        <f t="shared" si="8"/>
        <v>43.100748494691615</v>
      </c>
      <c r="R11" s="8">
        <f>C11-$C$24</f>
        <v>-24.065756611111116</v>
      </c>
      <c r="S11" s="8">
        <f t="shared" si="9"/>
        <v>579.16064126523838</v>
      </c>
    </row>
    <row r="12" spans="2:19" x14ac:dyDescent="0.35">
      <c r="B12" s="6">
        <v>1929</v>
      </c>
      <c r="C12" s="7">
        <v>15.6</v>
      </c>
      <c r="D12" s="6">
        <f t="shared" si="0"/>
        <v>3721041</v>
      </c>
      <c r="E12" s="6">
        <f t="shared" si="1"/>
        <v>7177888089</v>
      </c>
      <c r="F12" s="6">
        <f t="shared" si="2"/>
        <v>13846146123681</v>
      </c>
      <c r="G12" s="6">
        <f t="shared" si="3"/>
        <v>2.6709215872580648E+16</v>
      </c>
      <c r="H12" s="6">
        <f t="shared" si="4"/>
        <v>5.1522077418208076E+19</v>
      </c>
      <c r="I12" s="8">
        <f t="shared" si="5"/>
        <v>224839281.34287354</v>
      </c>
      <c r="J12" s="8">
        <f t="shared" si="6"/>
        <v>1.9171576247832638E+26</v>
      </c>
      <c r="K12" s="8">
        <f>B12*C12</f>
        <v>30092.399999999998</v>
      </c>
      <c r="L12" s="8">
        <f>B12^2*C12</f>
        <v>58048239.600000001</v>
      </c>
      <c r="M12" s="8">
        <f>B12^3*C12</f>
        <v>111975054188.39999</v>
      </c>
      <c r="N12" s="8">
        <f>B12^4*C12</f>
        <v>215999879529423.59</v>
      </c>
      <c r="O12" s="6">
        <f t="shared" si="7"/>
        <v>17.884583985224999</v>
      </c>
      <c r="P12" s="8">
        <f>C12-O12</f>
        <v>-2.2845839852249998</v>
      </c>
      <c r="Q12" s="8">
        <f t="shared" si="8"/>
        <v>5.2193239855465423</v>
      </c>
      <c r="R12" s="8">
        <f>C12-$C$24</f>
        <v>-23.665756611111114</v>
      </c>
      <c r="S12" s="8">
        <f t="shared" si="9"/>
        <v>560.06803597634939</v>
      </c>
    </row>
    <row r="13" spans="2:19" x14ac:dyDescent="0.35">
      <c r="B13" s="6">
        <v>1940</v>
      </c>
      <c r="C13" s="7">
        <v>19.600000000000001</v>
      </c>
      <c r="D13" s="6">
        <f t="shared" si="0"/>
        <v>3763600</v>
      </c>
      <c r="E13" s="6">
        <f t="shared" si="1"/>
        <v>7301384000</v>
      </c>
      <c r="F13" s="6">
        <f t="shared" si="2"/>
        <v>14164684960000</v>
      </c>
      <c r="G13" s="6">
        <f t="shared" si="3"/>
        <v>2.74794888224E+16</v>
      </c>
      <c r="H13" s="6">
        <f t="shared" si="4"/>
        <v>5.3310208315455996E+19</v>
      </c>
      <c r="I13" s="8">
        <f t="shared" si="5"/>
        <v>1111200682.5558023</v>
      </c>
      <c r="J13" s="8">
        <f t="shared" si="6"/>
        <v>2.006383000160502E+26</v>
      </c>
      <c r="K13" s="8">
        <f>B13*C13</f>
        <v>38024</v>
      </c>
      <c r="L13" s="8">
        <f>B13^2*C13</f>
        <v>73766560</v>
      </c>
      <c r="M13" s="8">
        <f>B13^3*C13</f>
        <v>143107126400</v>
      </c>
      <c r="N13" s="8">
        <f>B13^4*C13</f>
        <v>277627825216000.03</v>
      </c>
      <c r="O13" s="6">
        <f t="shared" si="7"/>
        <v>25.339082313071522</v>
      </c>
      <c r="P13" s="8">
        <f>C13-O13</f>
        <v>-5.7390823130715205</v>
      </c>
      <c r="Q13" s="8">
        <f t="shared" si="8"/>
        <v>32.937065796210355</v>
      </c>
      <c r="R13" s="8">
        <f>C13-$C$24</f>
        <v>-19.665756611111114</v>
      </c>
      <c r="S13" s="8">
        <f t="shared" si="9"/>
        <v>386.74198308746048</v>
      </c>
    </row>
    <row r="14" spans="2:19" x14ac:dyDescent="0.35">
      <c r="B14" s="6">
        <v>1950</v>
      </c>
      <c r="C14" s="7">
        <v>25.8</v>
      </c>
      <c r="D14" s="6">
        <f t="shared" si="0"/>
        <v>3802500</v>
      </c>
      <c r="E14" s="6">
        <f t="shared" si="1"/>
        <v>7414875000</v>
      </c>
      <c r="F14" s="6">
        <f t="shared" si="2"/>
        <v>14459006250000</v>
      </c>
      <c r="G14" s="6">
        <f t="shared" si="3"/>
        <v>2.81950621875E+16</v>
      </c>
      <c r="H14" s="6">
        <f t="shared" si="4"/>
        <v>5.4980371265624998E+19</v>
      </c>
      <c r="I14" s="8">
        <f t="shared" si="5"/>
        <v>7609181471.8849144</v>
      </c>
      <c r="J14" s="8">
        <f t="shared" si="6"/>
        <v>2.0906286173753908E+26</v>
      </c>
      <c r="K14" s="8">
        <f>B14*C14</f>
        <v>50310</v>
      </c>
      <c r="L14" s="8">
        <f>B14^2*C14</f>
        <v>98104500</v>
      </c>
      <c r="M14" s="8">
        <f>B14^3*C14</f>
        <v>191303775000</v>
      </c>
      <c r="N14" s="8">
        <f>B14^4*C14</f>
        <v>373042361250000</v>
      </c>
      <c r="O14" s="6">
        <f t="shared" si="7"/>
        <v>33.451886420914001</v>
      </c>
      <c r="P14" s="8">
        <f>C14-O14</f>
        <v>-7.6518864209139998</v>
      </c>
      <c r="Q14" s="8">
        <f t="shared" si="8"/>
        <v>58.551365798568064</v>
      </c>
      <c r="R14" s="8">
        <f>C14-$C$24</f>
        <v>-13.465756611111114</v>
      </c>
      <c r="S14" s="8">
        <f t="shared" si="9"/>
        <v>181.32660110968268</v>
      </c>
    </row>
    <row r="15" spans="2:19" x14ac:dyDescent="0.35">
      <c r="B15" s="6">
        <v>1960</v>
      </c>
      <c r="C15" s="7">
        <v>34.4</v>
      </c>
      <c r="D15" s="6">
        <f t="shared" si="0"/>
        <v>3841600</v>
      </c>
      <c r="E15" s="6">
        <f t="shared" si="1"/>
        <v>7529536000</v>
      </c>
      <c r="F15" s="6">
        <f t="shared" si="2"/>
        <v>14757890560000</v>
      </c>
      <c r="G15" s="6">
        <f t="shared" si="3"/>
        <v>2.89254654976E+16</v>
      </c>
      <c r="H15" s="6">
        <f t="shared" si="4"/>
        <v>5.6693912375296E+19</v>
      </c>
      <c r="I15" s="8">
        <f t="shared" si="5"/>
        <v>57004494392.026718</v>
      </c>
      <c r="J15" s="8">
        <f t="shared" si="6"/>
        <v>2.177953337809371E+26</v>
      </c>
      <c r="K15" s="8">
        <f>B15*C15</f>
        <v>67424</v>
      </c>
      <c r="L15" s="8">
        <f>B15^2*C15</f>
        <v>132151040</v>
      </c>
      <c r="M15" s="8">
        <f>B15^3*C15</f>
        <v>259016038400</v>
      </c>
      <c r="N15" s="8">
        <f>B15^4*C15</f>
        <v>507671435264000</v>
      </c>
      <c r="O15" s="6">
        <f t="shared" si="7"/>
        <v>42.837059524619761</v>
      </c>
      <c r="P15" s="8">
        <f>C15-O15</f>
        <v>-8.4370595246197624</v>
      </c>
      <c r="Q15" s="8">
        <f t="shared" si="8"/>
        <v>71.183973421977058</v>
      </c>
      <c r="R15" s="8">
        <f>C15-$C$24</f>
        <v>-4.8657566111111166</v>
      </c>
      <c r="S15" s="8">
        <f t="shared" si="9"/>
        <v>23.675587398571537</v>
      </c>
    </row>
    <row r="16" spans="2:19" x14ac:dyDescent="0.35">
      <c r="B16" s="6">
        <v>1970</v>
      </c>
      <c r="C16" s="7">
        <v>48.2</v>
      </c>
      <c r="D16" s="6">
        <f t="shared" si="0"/>
        <v>3880900</v>
      </c>
      <c r="E16" s="6">
        <f t="shared" si="1"/>
        <v>7645373000</v>
      </c>
      <c r="F16" s="6">
        <f t="shared" si="2"/>
        <v>15061384810000</v>
      </c>
      <c r="G16" s="6">
        <f t="shared" si="3"/>
        <v>2.96709280757E+16</v>
      </c>
      <c r="H16" s="6">
        <f t="shared" si="4"/>
        <v>5.8451728309129003E+19</v>
      </c>
      <c r="I16" s="8">
        <f t="shared" si="5"/>
        <v>604406696819.85657</v>
      </c>
      <c r="J16" s="8">
        <f t="shared" si="6"/>
        <v>2.2684531239489872E+26</v>
      </c>
      <c r="K16" s="8">
        <f>B16*C16</f>
        <v>94954</v>
      </c>
      <c r="L16" s="8">
        <f>B16^2*C16</f>
        <v>187059380</v>
      </c>
      <c r="M16" s="8">
        <f>B16^3*C16</f>
        <v>368506978600</v>
      </c>
      <c r="N16" s="8">
        <f>B16^4*C16</f>
        <v>725958747842000</v>
      </c>
      <c r="O16" s="6">
        <f t="shared" si="7"/>
        <v>53.494601623721699</v>
      </c>
      <c r="P16" s="8">
        <f>C16-O16</f>
        <v>-5.2946016237216966</v>
      </c>
      <c r="Q16" s="8">
        <f t="shared" si="8"/>
        <v>28.032806353916428</v>
      </c>
      <c r="R16" s="8">
        <f>C16-$C$24</f>
        <v>8.9342433888888877</v>
      </c>
      <c r="S16" s="8">
        <f t="shared" si="9"/>
        <v>79.8207049319048</v>
      </c>
    </row>
    <row r="17" spans="1:20" x14ac:dyDescent="0.35">
      <c r="B17" s="6">
        <v>1980</v>
      </c>
      <c r="C17" s="7">
        <v>66.8</v>
      </c>
      <c r="D17" s="6">
        <f t="shared" si="0"/>
        <v>3920400</v>
      </c>
      <c r="E17" s="6">
        <f t="shared" si="1"/>
        <v>7762392000</v>
      </c>
      <c r="F17" s="6">
        <f t="shared" si="2"/>
        <v>15369536160000</v>
      </c>
      <c r="G17" s="6">
        <f t="shared" si="3"/>
        <v>3.04316815968E+16</v>
      </c>
      <c r="H17" s="6">
        <f t="shared" si="4"/>
        <v>6.0254729561663996E+19</v>
      </c>
      <c r="I17" s="8">
        <f t="shared" si="5"/>
        <v>5935198349874.9902</v>
      </c>
      <c r="J17" s="8">
        <f t="shared" si="6"/>
        <v>2.3622264177354753E+26</v>
      </c>
      <c r="K17" s="8">
        <f>B17*C17</f>
        <v>132264</v>
      </c>
      <c r="L17" s="8">
        <f>B17^2*C17</f>
        <v>261882720</v>
      </c>
      <c r="M17" s="8">
        <f>B17^3*C17</f>
        <v>518527785600</v>
      </c>
      <c r="N17" s="8">
        <f>B17^4*C17</f>
        <v>1026685015488000</v>
      </c>
      <c r="O17" s="6">
        <f t="shared" si="7"/>
        <v>65.424512717733307</v>
      </c>
      <c r="P17" s="8">
        <f>C17-O17</f>
        <v>1.3754872822666897</v>
      </c>
      <c r="Q17" s="8">
        <f t="shared" si="8"/>
        <v>1.891965263677404</v>
      </c>
      <c r="R17" s="8">
        <f>C17-$C$24</f>
        <v>27.534243388888882</v>
      </c>
      <c r="S17" s="8">
        <f t="shared" si="9"/>
        <v>758.13455899857115</v>
      </c>
    </row>
    <row r="18" spans="1:20" x14ac:dyDescent="0.35">
      <c r="B18" s="6">
        <v>1990</v>
      </c>
      <c r="C18" s="7">
        <v>81.249645000000001</v>
      </c>
      <c r="D18" s="6">
        <f t="shared" si="0"/>
        <v>3960100</v>
      </c>
      <c r="E18" s="6">
        <f t="shared" si="1"/>
        <v>7880599000</v>
      </c>
      <c r="F18" s="6">
        <f t="shared" si="2"/>
        <v>15682392010000</v>
      </c>
      <c r="G18" s="6">
        <f t="shared" si="3"/>
        <v>3.12079600999E+16</v>
      </c>
      <c r="H18" s="6">
        <f t="shared" si="4"/>
        <v>6.2103840598800998E+19</v>
      </c>
      <c r="I18" s="8">
        <f t="shared" si="5"/>
        <v>23374929236582.262</v>
      </c>
      <c r="J18" s="8">
        <f t="shared" si="6"/>
        <v>2.4593741915531185E+26</v>
      </c>
      <c r="K18" s="8">
        <f>B18*C18</f>
        <v>161686.79355</v>
      </c>
      <c r="L18" s="8">
        <f>B18^2*C18</f>
        <v>321756719.1645</v>
      </c>
      <c r="M18" s="8">
        <f>B18^3*C18</f>
        <v>640295871137.35498</v>
      </c>
      <c r="N18" s="8">
        <f>B18^4*C18</f>
        <v>1274188783563336.5</v>
      </c>
      <c r="O18" s="6">
        <f t="shared" si="7"/>
        <v>78.626792806188661</v>
      </c>
      <c r="P18" s="8">
        <f>C18-O18</f>
        <v>2.6228521938113403</v>
      </c>
      <c r="Q18" s="8">
        <f t="shared" si="8"/>
        <v>6.8793536305809608</v>
      </c>
      <c r="R18" s="8">
        <f>C18-$C$24</f>
        <v>41.983888388888886</v>
      </c>
      <c r="S18" s="8">
        <f t="shared" si="9"/>
        <v>1762.646884250679</v>
      </c>
    </row>
    <row r="19" spans="1:20" x14ac:dyDescent="0.35">
      <c r="B19" s="6">
        <v>2000</v>
      </c>
      <c r="C19" s="7">
        <v>97.483412000000001</v>
      </c>
      <c r="D19" s="6">
        <f t="shared" si="0"/>
        <v>4000000</v>
      </c>
      <c r="E19" s="6">
        <f t="shared" si="1"/>
        <v>8000000000</v>
      </c>
      <c r="F19" s="6">
        <f t="shared" si="2"/>
        <v>16000000000000</v>
      </c>
      <c r="G19" s="6">
        <f t="shared" si="3"/>
        <v>3.2E+16</v>
      </c>
      <c r="H19" s="6">
        <f t="shared" si="4"/>
        <v>6.4E+19</v>
      </c>
      <c r="I19" s="8">
        <f t="shared" si="5"/>
        <v>83659458673903.266</v>
      </c>
      <c r="J19" s="8">
        <f t="shared" si="6"/>
        <v>2.56E+26</v>
      </c>
      <c r="K19" s="8">
        <f>B19*C19</f>
        <v>194966.82399999999</v>
      </c>
      <c r="L19" s="8">
        <f>B19^2*C19</f>
        <v>389933648</v>
      </c>
      <c r="M19" s="8">
        <f>B19^3*C19</f>
        <v>779867296000</v>
      </c>
      <c r="N19" s="8">
        <f>B19^4*C19</f>
        <v>1559734592000000</v>
      </c>
      <c r="O19" s="6">
        <f t="shared" si="7"/>
        <v>93.10144188859519</v>
      </c>
      <c r="P19" s="8">
        <f>C19-O19</f>
        <v>4.3819701114048115</v>
      </c>
      <c r="Q19" s="8">
        <f t="shared" si="8"/>
        <v>19.201662057245095</v>
      </c>
      <c r="R19" s="8">
        <f>C19-$C$24</f>
        <v>58.217655388888886</v>
      </c>
      <c r="S19" s="8">
        <f t="shared" si="9"/>
        <v>3389.2953989794232</v>
      </c>
    </row>
    <row r="20" spans="1:20" x14ac:dyDescent="0.35">
      <c r="B20" s="6">
        <v>2010</v>
      </c>
      <c r="C20" s="7">
        <v>112.336538</v>
      </c>
      <c r="D20" s="6">
        <f t="shared" si="0"/>
        <v>4040100</v>
      </c>
      <c r="E20" s="6">
        <f t="shared" si="1"/>
        <v>8120601000</v>
      </c>
      <c r="F20" s="6">
        <f t="shared" si="2"/>
        <v>16322408010000</v>
      </c>
      <c r="G20" s="6">
        <f t="shared" si="3"/>
        <v>3.28080401001E+16</v>
      </c>
      <c r="H20" s="6">
        <f t="shared" si="4"/>
        <v>6.5944160601201E+19</v>
      </c>
      <c r="I20" s="8">
        <f t="shared" si="5"/>
        <v>225760131446008.25</v>
      </c>
      <c r="J20" s="8">
        <f t="shared" si="6"/>
        <v>2.6642100324491215E+26</v>
      </c>
      <c r="K20" s="8">
        <f>B20*C20</f>
        <v>225796.44138</v>
      </c>
      <c r="L20" s="8">
        <f>B20^2*C20</f>
        <v>453850847.17379999</v>
      </c>
      <c r="M20" s="8">
        <f>B20^3*C20</f>
        <v>912240202819.33801</v>
      </c>
      <c r="N20" s="8">
        <f>B20^4*C20</f>
        <v>1833602807666869.5</v>
      </c>
      <c r="O20" s="6">
        <f t="shared" si="7"/>
        <v>108.84845996448814</v>
      </c>
      <c r="P20" s="8">
        <f>C20-O20</f>
        <v>3.4880780355118617</v>
      </c>
      <c r="Q20" s="8">
        <f t="shared" si="8"/>
        <v>12.166688381820288</v>
      </c>
      <c r="R20" s="8">
        <f>C20-$C$24</f>
        <v>73.070781388888889</v>
      </c>
      <c r="S20" s="8">
        <f t="shared" si="9"/>
        <v>5339.3390927827904</v>
      </c>
    </row>
    <row r="21" spans="1:20" x14ac:dyDescent="0.35">
      <c r="B21" s="6">
        <v>2020</v>
      </c>
      <c r="C21" s="7">
        <v>126.01402400000001</v>
      </c>
      <c r="D21" s="6">
        <f t="shared" si="0"/>
        <v>4080400</v>
      </c>
      <c r="E21" s="6">
        <f t="shared" si="1"/>
        <v>8242408000</v>
      </c>
      <c r="F21" s="6">
        <f t="shared" si="2"/>
        <v>16649664160000</v>
      </c>
      <c r="G21" s="6">
        <f t="shared" si="3"/>
        <v>3.36323216032E+16</v>
      </c>
      <c r="H21" s="6">
        <f t="shared" si="4"/>
        <v>6.7937289638463996E+19</v>
      </c>
      <c r="I21" s="8">
        <f t="shared" si="5"/>
        <v>504582472660615.31</v>
      </c>
      <c r="J21" s="8">
        <f t="shared" si="6"/>
        <v>2.772113166407885E+26</v>
      </c>
      <c r="K21" s="8">
        <f>B21*C21</f>
        <v>254548.32848000003</v>
      </c>
      <c r="L21" s="8">
        <f>B21^2*C21</f>
        <v>514187623.52960002</v>
      </c>
      <c r="M21" s="8">
        <f>B21^3*C21</f>
        <v>1038658999529.792</v>
      </c>
      <c r="N21" s="8">
        <f>B21^4*C21</f>
        <v>2098091179050180</v>
      </c>
      <c r="O21" s="6">
        <f t="shared" si="7"/>
        <v>125.86784703337251</v>
      </c>
      <c r="P21" s="8">
        <f>C21-O21</f>
        <v>0.14617696662749324</v>
      </c>
      <c r="Q21" s="8">
        <f t="shared" si="8"/>
        <v>2.1367705572415272E-2</v>
      </c>
      <c r="R21" s="8">
        <f>C21-$C$24</f>
        <v>86.748267388888891</v>
      </c>
      <c r="S21" s="8">
        <f t="shared" si="9"/>
        <v>7525.2618949741636</v>
      </c>
    </row>
    <row r="22" spans="1:20" x14ac:dyDescent="0.35">
      <c r="B22" s="19"/>
      <c r="C22" s="26"/>
    </row>
    <row r="23" spans="1:20" x14ac:dyDescent="0.35">
      <c r="A23" t="s">
        <v>9</v>
      </c>
      <c r="B23" s="19">
        <f>SUM(B4:B21)</f>
        <v>34709</v>
      </c>
      <c r="C23" s="19">
        <f t="shared" ref="C23:H23" si="10">SUM(C4:C21)</f>
        <v>706.78361900000004</v>
      </c>
      <c r="D23" s="19">
        <f t="shared" si="10"/>
        <v>66990321</v>
      </c>
      <c r="E23" s="19">
        <f t="shared" si="10"/>
        <v>129413848745</v>
      </c>
      <c r="F23" s="19">
        <f t="shared" si="10"/>
        <v>250233859862817</v>
      </c>
      <c r="G23" s="19">
        <f t="shared" si="10"/>
        <v>4.8428993318806643E+17</v>
      </c>
      <c r="H23" s="19">
        <f t="shared" si="10"/>
        <v>9.381144233484558E+20</v>
      </c>
      <c r="I23" s="19">
        <f>SUM(I4:I21)</f>
        <v>843982840814625.5</v>
      </c>
      <c r="J23" s="19">
        <f>SUM(J4:J21)</f>
        <v>3.5295166381157634E+27</v>
      </c>
      <c r="K23" s="19">
        <f>SUM(K4:K21)</f>
        <v>1398836.7874099999</v>
      </c>
      <c r="L23" s="19">
        <f>SUM(L4:L21)</f>
        <v>2769888915.0679002</v>
      </c>
      <c r="M23" s="19">
        <f>SUM(M4:M21)</f>
        <v>5487375646740.4854</v>
      </c>
      <c r="N23" s="19">
        <f>SUM(N4:N21)</f>
        <v>1.087593477816557E+16</v>
      </c>
      <c r="O23" s="19">
        <f>SUM(O4:O21)</f>
        <v>706.78361772203675</v>
      </c>
      <c r="P23" s="19">
        <f>SUM(P4:P21)</f>
        <v>1.2779632978521249E-6</v>
      </c>
      <c r="Q23" s="19">
        <f>SUM(Q4:Q21)</f>
        <v>501.71899876199893</v>
      </c>
      <c r="R23" s="19">
        <f>SUM(R4:R21)</f>
        <v>0</v>
      </c>
      <c r="S23" s="19">
        <f>SUM(S4:S21)</f>
        <v>26956.948881911499</v>
      </c>
    </row>
    <row r="24" spans="1:20" x14ac:dyDescent="0.35">
      <c r="A24" t="s">
        <v>36</v>
      </c>
      <c r="B24" s="19"/>
      <c r="C24" s="26">
        <f>AVERAGE(C4:C21)</f>
        <v>39.265756611111115</v>
      </c>
    </row>
    <row r="28" spans="1:20" x14ac:dyDescent="0.35">
      <c r="B28" t="s">
        <v>16</v>
      </c>
      <c r="C28" t="s">
        <v>17</v>
      </c>
      <c r="D28" t="str">
        <f>C29</f>
        <v>SumX^2</v>
      </c>
      <c r="E28" t="str">
        <f>D29</f>
        <v>SumX^3</v>
      </c>
      <c r="F28" t="str">
        <f>E29</f>
        <v>SumX^4</v>
      </c>
      <c r="H28" t="s">
        <v>11</v>
      </c>
      <c r="J28" t="s">
        <v>21</v>
      </c>
      <c r="N28" s="24" t="s">
        <v>29</v>
      </c>
      <c r="O28" s="25">
        <f>1-Q23/S23</f>
        <v>0.98138813851078455</v>
      </c>
      <c r="S28" s="22" t="s">
        <v>31</v>
      </c>
      <c r="T28" s="25">
        <f>1-((Q23/(18-4))/(S23/(18-1)))</f>
        <v>0.97739988247738119</v>
      </c>
    </row>
    <row r="29" spans="1:20" x14ac:dyDescent="0.35">
      <c r="B29" t="s">
        <v>17</v>
      </c>
      <c r="C29" t="s">
        <v>18</v>
      </c>
      <c r="D29" t="str">
        <f>C30</f>
        <v>SumX^3</v>
      </c>
      <c r="E29" t="str">
        <f>D30</f>
        <v>SumX^4</v>
      </c>
      <c r="F29" t="str">
        <f t="shared" ref="F29:F31" si="11">E30</f>
        <v>SumX^5</v>
      </c>
      <c r="G29" s="15" t="s">
        <v>10</v>
      </c>
      <c r="H29" t="s">
        <v>12</v>
      </c>
      <c r="I29" s="15" t="s">
        <v>14</v>
      </c>
      <c r="J29" t="s">
        <v>22</v>
      </c>
    </row>
    <row r="30" spans="1:20" x14ac:dyDescent="0.35">
      <c r="B30" t="s">
        <v>18</v>
      </c>
      <c r="C30" t="s">
        <v>19</v>
      </c>
      <c r="D30" t="str">
        <f>C31</f>
        <v>SumX^4</v>
      </c>
      <c r="E30" t="str">
        <f>D31</f>
        <v>SumX^5</v>
      </c>
      <c r="F30" t="str">
        <f t="shared" si="11"/>
        <v>SumX^6</v>
      </c>
      <c r="H30" t="s">
        <v>13</v>
      </c>
      <c r="J30" t="s">
        <v>23</v>
      </c>
    </row>
    <row r="31" spans="1:20" ht="16.5" x14ac:dyDescent="0.35">
      <c r="B31" t="s">
        <v>19</v>
      </c>
      <c r="C31" t="s">
        <v>20</v>
      </c>
      <c r="D31" t="s">
        <v>32</v>
      </c>
      <c r="E31" t="s">
        <v>33</v>
      </c>
      <c r="F31" t="str">
        <f t="shared" si="11"/>
        <v>SumX^7</v>
      </c>
      <c r="H31" t="s">
        <v>34</v>
      </c>
      <c r="J31" t="s">
        <v>35</v>
      </c>
    </row>
    <row r="32" spans="1:20" x14ac:dyDescent="0.35">
      <c r="B32" t="s">
        <v>20</v>
      </c>
      <c r="C32" t="s">
        <v>32</v>
      </c>
      <c r="D32" t="s">
        <v>33</v>
      </c>
      <c r="E32" t="s">
        <v>43</v>
      </c>
      <c r="F32" t="s">
        <v>48</v>
      </c>
      <c r="H32" t="s">
        <v>44</v>
      </c>
      <c r="J32" t="s">
        <v>45</v>
      </c>
      <c r="M32" s="24" t="s">
        <v>41</v>
      </c>
      <c r="N32">
        <f>H49+H50*2021+H51*2021^2+H52*2021^3+H53*2021^4</f>
        <v>127.63976603485843</v>
      </c>
    </row>
    <row r="35" spans="2:10" x14ac:dyDescent="0.35">
      <c r="B35">
        <f>COUNTA(B4:B21)</f>
        <v>18</v>
      </c>
      <c r="C35">
        <f>B23</f>
        <v>34709</v>
      </c>
      <c r="D35">
        <f>D23</f>
        <v>66990321</v>
      </c>
      <c r="E35">
        <f>E23</f>
        <v>129413848745</v>
      </c>
      <c r="F35">
        <f>F23</f>
        <v>250233859862817</v>
      </c>
      <c r="H35" t="s">
        <v>11</v>
      </c>
      <c r="J35">
        <f>C23</f>
        <v>706.78361900000004</v>
      </c>
    </row>
    <row r="36" spans="2:10" x14ac:dyDescent="0.35">
      <c r="B36">
        <f>B23</f>
        <v>34709</v>
      </c>
      <c r="C36">
        <f>D23</f>
        <v>66990321</v>
      </c>
      <c r="D36">
        <f>E23</f>
        <v>129413848745</v>
      </c>
      <c r="E36">
        <f>F23</f>
        <v>250233859862817</v>
      </c>
      <c r="F36">
        <f>G23</f>
        <v>4.8428993318806643E+17</v>
      </c>
      <c r="G36" t="s">
        <v>10</v>
      </c>
      <c r="H36" t="s">
        <v>12</v>
      </c>
      <c r="I36" t="s">
        <v>14</v>
      </c>
      <c r="J36">
        <f>K23</f>
        <v>1398836.7874099999</v>
      </c>
    </row>
    <row r="37" spans="2:10" x14ac:dyDescent="0.35">
      <c r="B37">
        <f>D23</f>
        <v>66990321</v>
      </c>
      <c r="C37">
        <f>E23</f>
        <v>129413848745</v>
      </c>
      <c r="D37">
        <f>F23</f>
        <v>250233859862817</v>
      </c>
      <c r="E37">
        <f>G23</f>
        <v>4.8428993318806643E+17</v>
      </c>
      <c r="F37">
        <f>H23</f>
        <v>9.381144233484558E+20</v>
      </c>
      <c r="H37" t="s">
        <v>13</v>
      </c>
      <c r="J37">
        <f>L23</f>
        <v>2769888915.0679002</v>
      </c>
    </row>
    <row r="38" spans="2:10" x14ac:dyDescent="0.35">
      <c r="B38">
        <f>E23</f>
        <v>129413848745</v>
      </c>
      <c r="C38">
        <f>F23</f>
        <v>250233859862817</v>
      </c>
      <c r="D38">
        <f>G23</f>
        <v>4.8428993318806643E+17</v>
      </c>
      <c r="E38">
        <f>H23</f>
        <v>9.381144233484558E+20</v>
      </c>
      <c r="F38">
        <f>I23</f>
        <v>843982840814625.5</v>
      </c>
      <c r="H38" t="s">
        <v>34</v>
      </c>
      <c r="J38">
        <f>M23</f>
        <v>5487375646740.4854</v>
      </c>
    </row>
    <row r="39" spans="2:10" x14ac:dyDescent="0.35">
      <c r="B39">
        <f>F23</f>
        <v>250233859862817</v>
      </c>
      <c r="C39">
        <f>G23</f>
        <v>4.8428993318806643E+17</v>
      </c>
      <c r="D39">
        <f>H23</f>
        <v>9.381144233484558E+20</v>
      </c>
      <c r="E39">
        <f>I23</f>
        <v>843982840814625.5</v>
      </c>
      <c r="F39">
        <f>J23</f>
        <v>3.5295166381157634E+27</v>
      </c>
      <c r="H39" t="s">
        <v>44</v>
      </c>
      <c r="J39">
        <f>N23</f>
        <v>1.087593477816557E+16</v>
      </c>
    </row>
    <row r="42" spans="2:10" x14ac:dyDescent="0.35">
      <c r="G42" t="s">
        <v>11</v>
      </c>
      <c r="I42" cm="1">
        <f t="array" ref="I42:I46">MMULT(MINVERSE(B35:F39),J35:J39)</f>
        <v>22518.315153879459</v>
      </c>
    </row>
    <row r="43" spans="2:10" x14ac:dyDescent="0.35">
      <c r="G43" t="s">
        <v>12</v>
      </c>
      <c r="H43" t="s">
        <v>14</v>
      </c>
      <c r="I43">
        <v>-23.936297308225427</v>
      </c>
    </row>
    <row r="44" spans="2:10" x14ac:dyDescent="0.35">
      <c r="G44" t="s">
        <v>13</v>
      </c>
      <c r="I44">
        <v>6.3618453248681485E-3</v>
      </c>
    </row>
    <row r="45" spans="2:10" x14ac:dyDescent="0.35">
      <c r="G45" t="s">
        <v>34</v>
      </c>
      <c r="I45">
        <v>-3.9175259029621025E-14</v>
      </c>
    </row>
    <row r="46" spans="2:10" x14ac:dyDescent="0.35">
      <c r="G46" t="s">
        <v>44</v>
      </c>
      <c r="I46">
        <v>-5.100658167760297E-18</v>
      </c>
    </row>
    <row r="49" spans="7:8" x14ac:dyDescent="0.35">
      <c r="G49" s="22" t="s">
        <v>11</v>
      </c>
      <c r="H49" s="16">
        <v>22518.315153879459</v>
      </c>
    </row>
    <row r="50" spans="7:8" x14ac:dyDescent="0.35">
      <c r="G50" s="22" t="s">
        <v>12</v>
      </c>
      <c r="H50" s="16">
        <v>-23.936297308225427</v>
      </c>
    </row>
    <row r="51" spans="7:8" x14ac:dyDescent="0.35">
      <c r="G51" s="22" t="s">
        <v>13</v>
      </c>
      <c r="H51" s="16">
        <v>6.3618453248681485E-3</v>
      </c>
    </row>
    <row r="52" spans="7:8" x14ac:dyDescent="0.35">
      <c r="G52" s="22" t="s">
        <v>34</v>
      </c>
      <c r="H52" s="16">
        <v>-3.9175259029621025E-14</v>
      </c>
    </row>
    <row r="53" spans="7:8" x14ac:dyDescent="0.35">
      <c r="G53" s="22" t="s">
        <v>44</v>
      </c>
      <c r="H53" s="16">
        <v>-5.100658167760297E-18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424E-E88C-4BFD-A6E5-C271FBD0A710}">
  <dimension ref="B2:O5"/>
  <sheetViews>
    <sheetView tabSelected="1" workbookViewId="0">
      <selection activeCell="F57" sqref="F57"/>
    </sheetView>
  </sheetViews>
  <sheetFormatPr defaultRowHeight="14.5" x14ac:dyDescent="0.35"/>
  <cols>
    <col min="12" max="12" width="9.453125" customWidth="1"/>
    <col min="13" max="13" width="17.90625" customWidth="1"/>
  </cols>
  <sheetData>
    <row r="2" spans="2:15" x14ac:dyDescent="0.35">
      <c r="B2" s="30" t="s">
        <v>50</v>
      </c>
      <c r="C2" s="30"/>
      <c r="D2" s="30" t="s">
        <v>29</v>
      </c>
      <c r="E2" s="30"/>
      <c r="F2" s="30" t="s">
        <v>51</v>
      </c>
      <c r="G2" s="30"/>
      <c r="H2" s="30" t="s">
        <v>30</v>
      </c>
      <c r="I2" s="30"/>
      <c r="J2" s="30" t="s">
        <v>52</v>
      </c>
      <c r="K2" s="30"/>
      <c r="L2" s="31" t="s">
        <v>56</v>
      </c>
      <c r="M2" s="32"/>
    </row>
    <row r="3" spans="2:15" x14ac:dyDescent="0.35">
      <c r="B3" s="29" t="s">
        <v>53</v>
      </c>
      <c r="C3" s="29"/>
      <c r="D3" s="29">
        <v>0.98099999999999998</v>
      </c>
      <c r="E3" s="29"/>
      <c r="F3" s="29">
        <v>0.97899999999999998</v>
      </c>
      <c r="G3" s="29"/>
      <c r="H3" s="29">
        <v>117</v>
      </c>
      <c r="I3" s="29"/>
      <c r="J3" s="29">
        <v>119.7</v>
      </c>
      <c r="K3" s="29"/>
      <c r="L3" s="33">
        <v>2.9100000000000001E-2</v>
      </c>
      <c r="M3" s="33"/>
    </row>
    <row r="4" spans="2:15" x14ac:dyDescent="0.35">
      <c r="B4" s="29" t="s">
        <v>54</v>
      </c>
      <c r="C4" s="29"/>
      <c r="D4" s="29">
        <v>0.99099999999999999</v>
      </c>
      <c r="E4" s="29"/>
      <c r="F4" s="29">
        <v>0.98899999999999999</v>
      </c>
      <c r="G4" s="29"/>
      <c r="H4" s="29">
        <v>105.8</v>
      </c>
      <c r="I4" s="29"/>
      <c r="J4" s="29">
        <v>109.4</v>
      </c>
      <c r="K4" s="29"/>
      <c r="L4" s="33">
        <v>2.76E-2</v>
      </c>
      <c r="M4" s="33"/>
      <c r="O4" t="s">
        <v>57</v>
      </c>
    </row>
    <row r="5" spans="2:15" x14ac:dyDescent="0.35">
      <c r="B5" s="29" t="s">
        <v>55</v>
      </c>
      <c r="C5" s="29"/>
      <c r="D5" s="29">
        <v>0.99099999999999999</v>
      </c>
      <c r="E5" s="29"/>
      <c r="F5" s="29">
        <v>0.98899999999999999</v>
      </c>
      <c r="G5" s="29"/>
      <c r="H5" s="29">
        <v>106.3</v>
      </c>
      <c r="I5" s="29"/>
      <c r="J5" s="29">
        <v>109.9</v>
      </c>
      <c r="K5" s="29"/>
      <c r="L5" s="29">
        <v>1</v>
      </c>
      <c r="M5" s="29"/>
    </row>
  </sheetData>
  <mergeCells count="24">
    <mergeCell ref="L2:M2"/>
    <mergeCell ref="L3:M3"/>
    <mergeCell ref="L4:M4"/>
    <mergeCell ref="L5:M5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conditionalFormatting sqref="D3:E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G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K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M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Polinomio 2</vt:lpstr>
      <vt:lpstr>Polinomio 3</vt:lpstr>
      <vt:lpstr>Polinomio 4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actda</cp:lastModifiedBy>
  <dcterms:created xsi:type="dcterms:W3CDTF">2021-10-27T18:02:12Z</dcterms:created>
  <dcterms:modified xsi:type="dcterms:W3CDTF">2021-10-28T16:27:51Z</dcterms:modified>
</cp:coreProperties>
</file>